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uorlando\Dropbox\Material PIC\Nutrition Symposium\2018 Nutrition Seminars NAM\Lysine\"/>
    </mc:Choice>
  </mc:AlternateContent>
  <xr:revisionPtr revIDLastSave="0" documentId="13_ncr:1_{8116CDE8-57CA-48CF-8BFD-4E57193CFF56}" xr6:coauthVersionLast="31" xr6:coauthVersionMax="31" xr10:uidLastSave="{00000000-0000-0000-0000-000000000000}"/>
  <bookViews>
    <workbookView xWindow="0" yWindow="0" windowWidth="15384" windowHeight="6660" activeTab="1" xr2:uid="{00000000-000D-0000-FFFF-FFFF00000000}"/>
  </bookViews>
  <sheets>
    <sheet name="Imperial-ME" sheetId="10" r:id="rId1"/>
    <sheet name="Imperial-NE" sheetId="9" r:id="rId2"/>
    <sheet name="Metric-ME" sheetId="11" r:id="rId3"/>
    <sheet name="Metric-NE" sheetId="7" r:id="rId4"/>
    <sheet name="Sheet1" sheetId="5" state="hidden" r:id="rId5"/>
    <sheet name="Growth curve" sheetId="6" state="hidden" r:id="rId6"/>
  </sheets>
  <calcPr calcId="179017"/>
</workbook>
</file>

<file path=xl/calcChain.xml><?xml version="1.0" encoding="utf-8"?>
<calcChain xmlns="http://schemas.openxmlformats.org/spreadsheetml/2006/main">
  <c r="F55" i="7" l="1"/>
  <c r="F55" i="11"/>
  <c r="F52" i="7"/>
  <c r="F52" i="11"/>
  <c r="F54" i="9"/>
  <c r="F54" i="10"/>
  <c r="F51" i="9"/>
  <c r="F51" i="10"/>
  <c r="K29" i="11" l="1"/>
  <c r="F54" i="11" l="1"/>
  <c r="F53" i="11"/>
  <c r="AS48" i="11"/>
  <c r="AR48" i="11"/>
  <c r="AS47" i="11"/>
  <c r="AR47" i="11"/>
  <c r="AR46" i="11"/>
  <c r="AR45" i="11"/>
  <c r="AR44" i="11"/>
  <c r="AR43" i="11"/>
  <c r="AR42" i="11"/>
  <c r="AR41" i="11"/>
  <c r="AR40" i="11"/>
  <c r="AR39" i="11"/>
  <c r="AR38" i="11"/>
  <c r="AR37" i="11"/>
  <c r="AR36" i="11"/>
  <c r="AR35" i="11"/>
  <c r="AR34" i="11"/>
  <c r="AR33" i="11"/>
  <c r="AS32" i="11"/>
  <c r="AR32" i="11"/>
  <c r="AS31" i="11"/>
  <c r="AR31" i="11"/>
  <c r="AS30" i="11"/>
  <c r="AR30" i="11"/>
  <c r="AS29" i="11"/>
  <c r="AR29" i="11"/>
  <c r="N28" i="11"/>
  <c r="M28" i="11"/>
  <c r="D37" i="11" s="1"/>
  <c r="AS39" i="11" s="1"/>
  <c r="N27" i="11"/>
  <c r="M27" i="11"/>
  <c r="D43" i="11" s="1"/>
  <c r="AS45" i="11" s="1"/>
  <c r="N26" i="11"/>
  <c r="M26" i="11"/>
  <c r="D35" i="11" s="1"/>
  <c r="AS37" i="11" s="1"/>
  <c r="N25" i="11"/>
  <c r="M25" i="11"/>
  <c r="Q25" i="11" s="1"/>
  <c r="S25" i="11" s="1"/>
  <c r="N24" i="11"/>
  <c r="M24" i="11"/>
  <c r="D33" i="11" s="1"/>
  <c r="AS35" i="11" s="1"/>
  <c r="X23" i="11"/>
  <c r="Q23" i="11"/>
  <c r="N23" i="11"/>
  <c r="M23" i="11"/>
  <c r="N22" i="11"/>
  <c r="M22" i="11"/>
  <c r="D38" i="11" s="1"/>
  <c r="AS40" i="11" s="1"/>
  <c r="E12" i="11"/>
  <c r="F48" i="11" s="1"/>
  <c r="F53" i="10"/>
  <c r="F52" i="10"/>
  <c r="F48" i="10"/>
  <c r="K29" i="10"/>
  <c r="N28" i="10"/>
  <c r="M28" i="10"/>
  <c r="D44" i="10" s="1"/>
  <c r="N27" i="10"/>
  <c r="M27" i="10"/>
  <c r="X27" i="10" s="1"/>
  <c r="N26" i="10"/>
  <c r="M26" i="10"/>
  <c r="X26" i="10" s="1"/>
  <c r="AA51" i="10" s="1"/>
  <c r="N25" i="10"/>
  <c r="M25" i="10"/>
  <c r="D41" i="10" s="1"/>
  <c r="N24" i="10"/>
  <c r="M24" i="10"/>
  <c r="X24" i="10" s="1"/>
  <c r="AA32" i="10" s="1"/>
  <c r="N23" i="10"/>
  <c r="M23" i="10"/>
  <c r="Q23" i="10" s="1"/>
  <c r="N22" i="10"/>
  <c r="M22" i="10"/>
  <c r="M14" i="10"/>
  <c r="E12" i="10"/>
  <c r="AA50" i="10" l="1"/>
  <c r="AA52" i="10" s="1"/>
  <c r="X25" i="11"/>
  <c r="AA41" i="11" s="1"/>
  <c r="X25" i="10"/>
  <c r="AA41" i="10" s="1"/>
  <c r="D34" i="10"/>
  <c r="N30" i="10"/>
  <c r="S23" i="10"/>
  <c r="Q25" i="10"/>
  <c r="S25" i="10" s="1"/>
  <c r="S23" i="11"/>
  <c r="D41" i="11"/>
  <c r="AS43" i="11" s="1"/>
  <c r="AA22" i="11"/>
  <c r="AA21" i="11"/>
  <c r="N30" i="11"/>
  <c r="Q27" i="11"/>
  <c r="S27" i="11" s="1"/>
  <c r="X27" i="11"/>
  <c r="AA59" i="11" s="1"/>
  <c r="D35" i="10"/>
  <c r="X23" i="10"/>
  <c r="AA22" i="10" s="1"/>
  <c r="D42" i="10"/>
  <c r="AA31" i="10"/>
  <c r="D32" i="10"/>
  <c r="D40" i="10"/>
  <c r="D33" i="10"/>
  <c r="AA58" i="10"/>
  <c r="AA57" i="10"/>
  <c r="D36" i="10"/>
  <c r="D43" i="10"/>
  <c r="Q27" i="10"/>
  <c r="S27" i="10" s="1"/>
  <c r="Q28" i="10"/>
  <c r="S28" i="10" s="1"/>
  <c r="X28" i="10"/>
  <c r="Q28" i="11"/>
  <c r="X28" i="11"/>
  <c r="D39" i="11"/>
  <c r="AS41" i="11" s="1"/>
  <c r="D44" i="11"/>
  <c r="AS46" i="11" s="1"/>
  <c r="D31" i="11"/>
  <c r="AS33" i="11" s="1"/>
  <c r="D32" i="11"/>
  <c r="AS34" i="11" s="1"/>
  <c r="D34" i="11"/>
  <c r="AS36" i="11" s="1"/>
  <c r="D36" i="11"/>
  <c r="AS38" i="11" s="1"/>
  <c r="D40" i="11"/>
  <c r="AS42" i="11" s="1"/>
  <c r="D42" i="11"/>
  <c r="AS44" i="11" s="1"/>
  <c r="Q22" i="11"/>
  <c r="X22" i="11"/>
  <c r="Q24" i="11"/>
  <c r="X24" i="11"/>
  <c r="Q26" i="11"/>
  <c r="X26" i="11"/>
  <c r="D39" i="10"/>
  <c r="D31" i="10"/>
  <c r="D38" i="10"/>
  <c r="Q22" i="10"/>
  <c r="S22" i="10" s="1"/>
  <c r="X22" i="10"/>
  <c r="Q24" i="10"/>
  <c r="S24" i="10" s="1"/>
  <c r="Q26" i="10"/>
  <c r="S26" i="10" s="1"/>
  <c r="D37" i="10"/>
  <c r="AA40" i="11" l="1"/>
  <c r="AA46" i="11" s="1"/>
  <c r="AA40" i="10"/>
  <c r="AA42" i="10" s="1"/>
  <c r="AA47" i="10" s="1"/>
  <c r="AA58" i="11"/>
  <c r="AA61" i="11" s="1"/>
  <c r="AA52" i="11"/>
  <c r="AA51" i="11"/>
  <c r="AA31" i="11"/>
  <c r="AA32" i="11"/>
  <c r="AA24" i="11"/>
  <c r="F23" i="11" s="1"/>
  <c r="K23" i="11" s="1"/>
  <c r="AA23" i="11"/>
  <c r="AA25" i="11" s="1"/>
  <c r="AA14" i="11"/>
  <c r="AA15" i="11"/>
  <c r="AA65" i="11"/>
  <c r="AA66" i="11"/>
  <c r="AA21" i="10"/>
  <c r="AA15" i="10"/>
  <c r="AA14" i="10"/>
  <c r="AA65" i="10"/>
  <c r="AA64" i="10"/>
  <c r="S24" i="11"/>
  <c r="S26" i="11"/>
  <c r="S22" i="11"/>
  <c r="S28" i="11"/>
  <c r="AA54" i="10"/>
  <c r="AA53" i="10"/>
  <c r="AA34" i="10"/>
  <c r="AA33" i="10"/>
  <c r="AA35" i="10" s="1"/>
  <c r="AA60" i="10"/>
  <c r="F27" i="10" s="1"/>
  <c r="K27" i="10" s="1"/>
  <c r="AA59" i="10"/>
  <c r="AA61" i="10" s="1"/>
  <c r="AA60" i="11" l="1"/>
  <c r="AA62" i="11" s="1"/>
  <c r="AA42" i="11"/>
  <c r="AA47" i="11" s="1"/>
  <c r="AA46" i="10"/>
  <c r="F25" i="10" s="1"/>
  <c r="K25" i="10" s="1"/>
  <c r="AA33" i="11"/>
  <c r="AA35" i="11" s="1"/>
  <c r="AA34" i="11"/>
  <c r="AA53" i="11"/>
  <c r="AA55" i="11" s="1"/>
  <c r="AA54" i="11"/>
  <c r="AA16" i="11"/>
  <c r="AA18" i="11" s="1"/>
  <c r="AA17" i="11"/>
  <c r="AA67" i="11"/>
  <c r="AA69" i="11" s="1"/>
  <c r="AA68" i="11"/>
  <c r="S30" i="11"/>
  <c r="S31" i="11" s="1"/>
  <c r="F56" i="11" s="1"/>
  <c r="F26" i="10"/>
  <c r="K26" i="10" s="1"/>
  <c r="F24" i="10"/>
  <c r="K24" i="10" s="1"/>
  <c r="AA24" i="10"/>
  <c r="AA23" i="10"/>
  <c r="AA25" i="10" s="1"/>
  <c r="S30" i="10"/>
  <c r="S31" i="10" s="1"/>
  <c r="F55" i="10" s="1"/>
  <c r="F57" i="10" s="1"/>
  <c r="AA67" i="10"/>
  <c r="F28" i="10" s="1"/>
  <c r="K28" i="10" s="1"/>
  <c r="AA66" i="10"/>
  <c r="AA68" i="10" s="1"/>
  <c r="F27" i="11"/>
  <c r="K27" i="11" s="1"/>
  <c r="F39" i="11"/>
  <c r="G39" i="11" s="1"/>
  <c r="R23" i="11" s="1"/>
  <c r="T23" i="11" s="1"/>
  <c r="F32" i="11"/>
  <c r="G32" i="11" s="1"/>
  <c r="F25" i="11"/>
  <c r="K25" i="11" s="1"/>
  <c r="AA16" i="10"/>
  <c r="AA18" i="10" s="1"/>
  <c r="AA17" i="10"/>
  <c r="F43" i="10"/>
  <c r="G43" i="10" s="1"/>
  <c r="R27" i="10" s="1"/>
  <c r="T27" i="10" s="1"/>
  <c r="F36" i="10"/>
  <c r="G36" i="10" s="1"/>
  <c r="F40" i="10" l="1"/>
  <c r="G40" i="10" s="1"/>
  <c r="R24" i="10" s="1"/>
  <c r="T24" i="10" s="1"/>
  <c r="F33" i="10"/>
  <c r="G33" i="10" s="1"/>
  <c r="F41" i="10"/>
  <c r="G41" i="10" s="1"/>
  <c r="R25" i="10" s="1"/>
  <c r="T25" i="10" s="1"/>
  <c r="F34" i="10"/>
  <c r="G34" i="10" s="1"/>
  <c r="F42" i="10"/>
  <c r="G42" i="10" s="1"/>
  <c r="R26" i="10" s="1"/>
  <c r="T26" i="10" s="1"/>
  <c r="F35" i="10"/>
  <c r="G35" i="10" s="1"/>
  <c r="F23" i="10"/>
  <c r="K23" i="10" s="1"/>
  <c r="F22" i="10"/>
  <c r="K22" i="10" s="1"/>
  <c r="F58" i="10"/>
  <c r="F56" i="10"/>
  <c r="F59" i="10"/>
  <c r="F44" i="10"/>
  <c r="G44" i="10" s="1"/>
  <c r="R28" i="10" s="1"/>
  <c r="T28" i="10" s="1"/>
  <c r="F37" i="10"/>
  <c r="G37" i="10" s="1"/>
  <c r="F57" i="11"/>
  <c r="F59" i="11"/>
  <c r="F60" i="11"/>
  <c r="F58" i="11"/>
  <c r="F28" i="11"/>
  <c r="K28" i="11" s="1"/>
  <c r="F22" i="11"/>
  <c r="K22" i="11" s="1"/>
  <c r="F34" i="11"/>
  <c r="G34" i="11" s="1"/>
  <c r="F41" i="11"/>
  <c r="G41" i="11" s="1"/>
  <c r="R25" i="11" s="1"/>
  <c r="T25" i="11" s="1"/>
  <c r="F24" i="11"/>
  <c r="K24" i="11" s="1"/>
  <c r="F26" i="11"/>
  <c r="K26" i="11" s="1"/>
  <c r="F43" i="11"/>
  <c r="G43" i="11" s="1"/>
  <c r="R27" i="11" s="1"/>
  <c r="T27" i="11" s="1"/>
  <c r="F36" i="11"/>
  <c r="G36" i="11" s="1"/>
  <c r="F38" i="10" l="1"/>
  <c r="G38" i="10" s="1"/>
  <c r="F31" i="10"/>
  <c r="G31" i="10" s="1"/>
  <c r="F32" i="10"/>
  <c r="G32" i="10" s="1"/>
  <c r="F39" i="10"/>
  <c r="G39" i="10" s="1"/>
  <c r="R23" i="10" s="1"/>
  <c r="T23" i="10" s="1"/>
  <c r="F42" i="11"/>
  <c r="G42" i="11" s="1"/>
  <c r="R26" i="11" s="1"/>
  <c r="T26" i="11" s="1"/>
  <c r="F35" i="11"/>
  <c r="G35" i="11" s="1"/>
  <c r="F37" i="11"/>
  <c r="G37" i="11" s="1"/>
  <c r="F44" i="11"/>
  <c r="G44" i="11" s="1"/>
  <c r="R28" i="11" s="1"/>
  <c r="T28" i="11" s="1"/>
  <c r="F40" i="11"/>
  <c r="G40" i="11" s="1"/>
  <c r="R24" i="11" s="1"/>
  <c r="T24" i="11" s="1"/>
  <c r="F33" i="11"/>
  <c r="G33" i="11" s="1"/>
  <c r="F38" i="11"/>
  <c r="G38" i="11" s="1"/>
  <c r="F31" i="11"/>
  <c r="G31" i="11" s="1"/>
  <c r="R22" i="10" l="1"/>
  <c r="T22" i="10" s="1"/>
  <c r="T30" i="10" s="1"/>
  <c r="T31" i="10" s="1"/>
  <c r="I55" i="10" s="1"/>
  <c r="I53" i="10"/>
  <c r="I54" i="10" s="1"/>
  <c r="I48" i="10"/>
  <c r="I51" i="10" s="1"/>
  <c r="I48" i="11"/>
  <c r="I52" i="11" s="1"/>
  <c r="I54" i="11"/>
  <c r="I55" i="11" s="1"/>
  <c r="R22" i="11"/>
  <c r="T22" i="11" s="1"/>
  <c r="T30" i="11" s="1"/>
  <c r="T31" i="11" s="1"/>
  <c r="I56" i="11" s="1"/>
  <c r="I58" i="10" l="1"/>
  <c r="I57" i="10"/>
  <c r="K57" i="10" s="1"/>
  <c r="I56" i="10"/>
  <c r="K56" i="10" s="1"/>
  <c r="I59" i="10"/>
  <c r="I58" i="11"/>
  <c r="K58" i="11" s="1"/>
  <c r="I59" i="11"/>
  <c r="I57" i="11"/>
  <c r="K57" i="11" s="1"/>
  <c r="I60" i="11"/>
  <c r="I62" i="10" l="1"/>
  <c r="F62" i="10"/>
  <c r="K59" i="10"/>
  <c r="F63" i="10"/>
  <c r="I63" i="10"/>
  <c r="I64" i="11"/>
  <c r="F64" i="11"/>
  <c r="I63" i="11"/>
  <c r="F63" i="11"/>
  <c r="K58" i="10"/>
  <c r="K59" i="11"/>
  <c r="K60" i="11"/>
  <c r="F53" i="9" l="1"/>
  <c r="F52" i="9"/>
  <c r="K29" i="9"/>
  <c r="N28" i="9"/>
  <c r="M28" i="9"/>
  <c r="D44" i="9" s="1"/>
  <c r="N27" i="9"/>
  <c r="M27" i="9"/>
  <c r="X27" i="9" s="1"/>
  <c r="N26" i="9"/>
  <c r="M26" i="9"/>
  <c r="D42" i="9" s="1"/>
  <c r="N25" i="9"/>
  <c r="M25" i="9"/>
  <c r="D41" i="9" s="1"/>
  <c r="N24" i="9"/>
  <c r="M24" i="9"/>
  <c r="X24" i="9" s="1"/>
  <c r="N23" i="9"/>
  <c r="M23" i="9"/>
  <c r="D39" i="9" s="1"/>
  <c r="N22" i="9"/>
  <c r="M22" i="9"/>
  <c r="Q22" i="9" s="1"/>
  <c r="M14" i="9"/>
  <c r="E12" i="9"/>
  <c r="F48" i="9" s="1"/>
  <c r="AR29" i="7"/>
  <c r="AS29" i="7"/>
  <c r="AR30" i="7"/>
  <c r="AS30" i="7"/>
  <c r="AR31" i="7"/>
  <c r="AS31" i="7"/>
  <c r="AR32" i="7"/>
  <c r="AS32" i="7"/>
  <c r="AR33" i="7"/>
  <c r="AR34" i="7"/>
  <c r="AR35" i="7"/>
  <c r="AR36" i="7"/>
  <c r="AR37" i="7"/>
  <c r="AR38" i="7"/>
  <c r="AR39" i="7"/>
  <c r="AR40" i="7"/>
  <c r="AR41" i="7"/>
  <c r="AR42" i="7"/>
  <c r="AR43" i="7"/>
  <c r="AR44" i="7"/>
  <c r="AR45" i="7"/>
  <c r="AR46" i="7"/>
  <c r="AR47" i="7"/>
  <c r="AS47" i="7"/>
  <c r="AR48" i="7"/>
  <c r="AS48" i="7"/>
  <c r="N30" i="9" l="1"/>
  <c r="S22" i="9"/>
  <c r="X22" i="9"/>
  <c r="AA15" i="9" s="1"/>
  <c r="X26" i="9"/>
  <c r="AA50" i="9" s="1"/>
  <c r="X25" i="9"/>
  <c r="AA41" i="9" s="1"/>
  <c r="X28" i="9"/>
  <c r="AA64" i="9" s="1"/>
  <c r="Q28" i="9"/>
  <c r="S28" i="9" s="1"/>
  <c r="Q26" i="9"/>
  <c r="S26" i="9" s="1"/>
  <c r="Q25" i="9"/>
  <c r="S25" i="9" s="1"/>
  <c r="AA58" i="9"/>
  <c r="AA57" i="9"/>
  <c r="AA32" i="9"/>
  <c r="AA31" i="9"/>
  <c r="Q23" i="9"/>
  <c r="S23" i="9" s="1"/>
  <c r="X23" i="9"/>
  <c r="D32" i="9"/>
  <c r="D33" i="9"/>
  <c r="D34" i="9"/>
  <c r="D35" i="9"/>
  <c r="D36" i="9"/>
  <c r="D40" i="9"/>
  <c r="D43" i="9"/>
  <c r="D31" i="9"/>
  <c r="D38" i="9"/>
  <c r="Q24" i="9"/>
  <c r="S24" i="9" s="1"/>
  <c r="Q27" i="9"/>
  <c r="S27" i="9" s="1"/>
  <c r="D37" i="9"/>
  <c r="AA14" i="9" l="1"/>
  <c r="AA17" i="9" s="1"/>
  <c r="AA51" i="9"/>
  <c r="AA52" i="9" s="1"/>
  <c r="AA54" i="9" s="1"/>
  <c r="AA40" i="9"/>
  <c r="AA42" i="9" s="1"/>
  <c r="AA65" i="9"/>
  <c r="AA66" i="9" s="1"/>
  <c r="AA68" i="9" s="1"/>
  <c r="AA34" i="9"/>
  <c r="AA33" i="9"/>
  <c r="AA21" i="9"/>
  <c r="AA22" i="9"/>
  <c r="AA67" i="9"/>
  <c r="F28" i="9" s="1"/>
  <c r="K28" i="9" s="1"/>
  <c r="AA60" i="9"/>
  <c r="AA59" i="9"/>
  <c r="AA16" i="9" l="1"/>
  <c r="AA18" i="9" s="1"/>
  <c r="AA46" i="9"/>
  <c r="F25" i="9" s="1"/>
  <c r="K25" i="9" s="1"/>
  <c r="AA53" i="9"/>
  <c r="F26" i="9" s="1"/>
  <c r="K26" i="9" s="1"/>
  <c r="F35" i="9" s="1"/>
  <c r="G35" i="9" s="1"/>
  <c r="F22" i="9"/>
  <c r="K22" i="9" s="1"/>
  <c r="AA47" i="9"/>
  <c r="AA35" i="9"/>
  <c r="F24" i="9"/>
  <c r="K24" i="9" s="1"/>
  <c r="AA61" i="9"/>
  <c r="F27" i="9"/>
  <c r="K27" i="9" s="1"/>
  <c r="S30" i="9"/>
  <c r="S31" i="9" s="1"/>
  <c r="F55" i="9" s="1"/>
  <c r="F44" i="9"/>
  <c r="G44" i="9" s="1"/>
  <c r="R28" i="9" s="1"/>
  <c r="T28" i="9" s="1"/>
  <c r="F37" i="9"/>
  <c r="G37" i="9" s="1"/>
  <c r="AA23" i="9"/>
  <c r="AA24" i="9"/>
  <c r="F42" i="9" l="1"/>
  <c r="G42" i="9" s="1"/>
  <c r="R26" i="9" s="1"/>
  <c r="T26" i="9" s="1"/>
  <c r="F41" i="9"/>
  <c r="G41" i="9" s="1"/>
  <c r="R25" i="9" s="1"/>
  <c r="T25" i="9" s="1"/>
  <c r="F34" i="9"/>
  <c r="G34" i="9" s="1"/>
  <c r="F43" i="9"/>
  <c r="G43" i="9" s="1"/>
  <c r="R27" i="9" s="1"/>
  <c r="T27" i="9" s="1"/>
  <c r="F36" i="9"/>
  <c r="G36" i="9" s="1"/>
  <c r="AA25" i="9"/>
  <c r="F23" i="9"/>
  <c r="K23" i="9" s="1"/>
  <c r="F40" i="9"/>
  <c r="G40" i="9" s="1"/>
  <c r="R24" i="9" s="1"/>
  <c r="T24" i="9" s="1"/>
  <c r="F33" i="9"/>
  <c r="G33" i="9" s="1"/>
  <c r="F31" i="9"/>
  <c r="G31" i="9" s="1"/>
  <c r="F38" i="9"/>
  <c r="G38" i="9" s="1"/>
  <c r="F58" i="9"/>
  <c r="F56" i="9"/>
  <c r="F59" i="9"/>
  <c r="F57" i="9"/>
  <c r="F32" i="9" l="1"/>
  <c r="G32" i="9" s="1"/>
  <c r="I48" i="9" s="1"/>
  <c r="I51" i="9" s="1"/>
  <c r="F39" i="9"/>
  <c r="G39" i="9" s="1"/>
  <c r="R23" i="9" s="1"/>
  <c r="T23" i="9" s="1"/>
  <c r="R22" i="9"/>
  <c r="T22" i="9" s="1"/>
  <c r="I53" i="9" l="1"/>
  <c r="I54" i="9" s="1"/>
  <c r="T30" i="9"/>
  <c r="T31" i="9" s="1"/>
  <c r="I55" i="9" s="1"/>
  <c r="I59" i="9" l="1"/>
  <c r="I58" i="9"/>
  <c r="I62" i="9" l="1"/>
  <c r="F62" i="9"/>
  <c r="K59" i="9"/>
  <c r="I63" i="9"/>
  <c r="F63" i="9"/>
  <c r="I56" i="9"/>
  <c r="K56" i="9" s="1"/>
  <c r="I57" i="9"/>
  <c r="K57" i="9" s="1"/>
  <c r="K58" i="9"/>
  <c r="K29" i="7" l="1"/>
  <c r="F54" i="7"/>
  <c r="F53" i="7"/>
  <c r="N28" i="7"/>
  <c r="M28" i="7"/>
  <c r="X28" i="7" s="1"/>
  <c r="AA66" i="7" s="1"/>
  <c r="N27" i="7"/>
  <c r="M27" i="7"/>
  <c r="D43" i="7" s="1"/>
  <c r="AS45" i="7" s="1"/>
  <c r="N26" i="7"/>
  <c r="M26" i="7"/>
  <c r="D42" i="7" s="1"/>
  <c r="AS44" i="7" s="1"/>
  <c r="N25" i="7"/>
  <c r="M25" i="7"/>
  <c r="X25" i="7" s="1"/>
  <c r="AA41" i="7" s="1"/>
  <c r="N24" i="7"/>
  <c r="M24" i="7"/>
  <c r="D40" i="7" s="1"/>
  <c r="AS42" i="7" s="1"/>
  <c r="N23" i="7"/>
  <c r="M23" i="7"/>
  <c r="X23" i="7" s="1"/>
  <c r="N22" i="7"/>
  <c r="M22" i="7"/>
  <c r="E12" i="7"/>
  <c r="F48" i="7" s="1"/>
  <c r="AA65" i="7" l="1"/>
  <c r="AA68" i="7" s="1"/>
  <c r="X26" i="7"/>
  <c r="AA40" i="7"/>
  <c r="AA42" i="7" s="1"/>
  <c r="AA22" i="7"/>
  <c r="AA21" i="7"/>
  <c r="X22" i="7"/>
  <c r="X24" i="7"/>
  <c r="X27" i="7"/>
  <c r="D32" i="7"/>
  <c r="AS34" i="7" s="1"/>
  <c r="Q23" i="7"/>
  <c r="D39" i="7"/>
  <c r="AS41" i="7" s="1"/>
  <c r="D41" i="7"/>
  <c r="AS43" i="7" s="1"/>
  <c r="D34" i="7"/>
  <c r="AS36" i="7" s="1"/>
  <c r="Q25" i="7"/>
  <c r="N30" i="7"/>
  <c r="Q22" i="7"/>
  <c r="Q24" i="7"/>
  <c r="Q26" i="7"/>
  <c r="Q27" i="7"/>
  <c r="Q28" i="7"/>
  <c r="D31" i="7"/>
  <c r="D38" i="7"/>
  <c r="AS40" i="7" s="1"/>
  <c r="D37" i="7"/>
  <c r="AS39" i="7" s="1"/>
  <c r="D44" i="7"/>
  <c r="AS46" i="7" s="1"/>
  <c r="D33" i="7"/>
  <c r="AS35" i="7" s="1"/>
  <c r="D35" i="7"/>
  <c r="AS37" i="7" s="1"/>
  <c r="D36" i="7"/>
  <c r="AS38" i="7" s="1"/>
  <c r="AM143" i="6"/>
  <c r="D143" i="6"/>
  <c r="L143" i="6" s="1"/>
  <c r="C143" i="6"/>
  <c r="K142" i="6"/>
  <c r="D142" i="6"/>
  <c r="X142" i="6" s="1"/>
  <c r="C142" i="6"/>
  <c r="X141" i="6"/>
  <c r="L141" i="6"/>
  <c r="G141" i="6"/>
  <c r="D141" i="6"/>
  <c r="AM141" i="6" s="1"/>
  <c r="C141" i="6"/>
  <c r="D140" i="6"/>
  <c r="C140" i="6"/>
  <c r="W140" i="6" s="1"/>
  <c r="D139" i="6"/>
  <c r="X139" i="6" s="1"/>
  <c r="C139" i="6"/>
  <c r="W138" i="6"/>
  <c r="E138" i="6"/>
  <c r="D138" i="6"/>
  <c r="X138" i="6" s="1"/>
  <c r="C138" i="6"/>
  <c r="AL138" i="6" s="1"/>
  <c r="AM137" i="6"/>
  <c r="X137" i="6"/>
  <c r="L137" i="6"/>
  <c r="P137" i="6" s="1"/>
  <c r="G137" i="6"/>
  <c r="D137" i="6"/>
  <c r="C137" i="6"/>
  <c r="D136" i="6"/>
  <c r="C136" i="6"/>
  <c r="W136" i="6" s="1"/>
  <c r="F135" i="6"/>
  <c r="D135" i="6"/>
  <c r="X135" i="6" s="1"/>
  <c r="C135" i="6"/>
  <c r="AL135" i="6" s="1"/>
  <c r="AM134" i="6"/>
  <c r="K134" i="6"/>
  <c r="D134" i="6"/>
  <c r="X134" i="6" s="1"/>
  <c r="C134" i="6"/>
  <c r="L133" i="6"/>
  <c r="D133" i="6"/>
  <c r="AM133" i="6" s="1"/>
  <c r="C133" i="6"/>
  <c r="AL132" i="6"/>
  <c r="D132" i="6"/>
  <c r="C132" i="6"/>
  <c r="W132" i="6" s="1"/>
  <c r="AM131" i="6"/>
  <c r="AL131" i="6"/>
  <c r="E131" i="6"/>
  <c r="D131" i="6"/>
  <c r="X131" i="6" s="1"/>
  <c r="C131" i="6"/>
  <c r="W131" i="6" s="1"/>
  <c r="X130" i="6"/>
  <c r="K130" i="6"/>
  <c r="D130" i="6"/>
  <c r="G130" i="6" s="1"/>
  <c r="T130" i="6" s="1"/>
  <c r="C130" i="6"/>
  <c r="L129" i="6"/>
  <c r="D129" i="6"/>
  <c r="AM129" i="6" s="1"/>
  <c r="C129" i="6"/>
  <c r="AL128" i="6"/>
  <c r="D128" i="6"/>
  <c r="C128" i="6"/>
  <c r="W128" i="6" s="1"/>
  <c r="AL127" i="6"/>
  <c r="F127" i="6"/>
  <c r="D127" i="6"/>
  <c r="X127" i="6" s="1"/>
  <c r="C127" i="6"/>
  <c r="W127" i="6" s="1"/>
  <c r="AM126" i="6"/>
  <c r="L126" i="6"/>
  <c r="D126" i="6"/>
  <c r="X126" i="6" s="1"/>
  <c r="C126" i="6"/>
  <c r="L125" i="6"/>
  <c r="D125" i="6"/>
  <c r="AM125" i="6" s="1"/>
  <c r="C125" i="6"/>
  <c r="K125" i="6" s="1"/>
  <c r="D124" i="6"/>
  <c r="G124" i="6" s="1"/>
  <c r="C124" i="6"/>
  <c r="AL123" i="6"/>
  <c r="K123" i="6"/>
  <c r="D123" i="6"/>
  <c r="C123" i="6"/>
  <c r="W123" i="6" s="1"/>
  <c r="AM122" i="6"/>
  <c r="D122" i="6"/>
  <c r="L122" i="6" s="1"/>
  <c r="C122" i="6"/>
  <c r="W121" i="6"/>
  <c r="D121" i="6"/>
  <c r="C121" i="6"/>
  <c r="D120" i="6"/>
  <c r="C120" i="6"/>
  <c r="AL120" i="6" s="1"/>
  <c r="D119" i="6"/>
  <c r="C119" i="6"/>
  <c r="W119" i="6" s="1"/>
  <c r="AL118" i="6"/>
  <c r="K118" i="6"/>
  <c r="D118" i="6"/>
  <c r="X118" i="6" s="1"/>
  <c r="C118" i="6"/>
  <c r="E118" i="6" s="1"/>
  <c r="W117" i="6"/>
  <c r="F117" i="6"/>
  <c r="D117" i="6"/>
  <c r="C117" i="6"/>
  <c r="AL117" i="6" s="1"/>
  <c r="L116" i="6"/>
  <c r="D116" i="6"/>
  <c r="AM116" i="6" s="1"/>
  <c r="C116" i="6"/>
  <c r="D115" i="6"/>
  <c r="C115" i="6"/>
  <c r="W115" i="6" s="1"/>
  <c r="D114" i="6"/>
  <c r="X114" i="6" s="1"/>
  <c r="C114" i="6"/>
  <c r="K114" i="6" s="1"/>
  <c r="X113" i="6"/>
  <c r="L113" i="6"/>
  <c r="P113" i="6" s="1"/>
  <c r="G113" i="6"/>
  <c r="T113" i="6" s="1"/>
  <c r="E113" i="6"/>
  <c r="D113" i="6"/>
  <c r="AM113" i="6" s="1"/>
  <c r="C113" i="6"/>
  <c r="AL113" i="6" s="1"/>
  <c r="G112" i="6"/>
  <c r="D112" i="6"/>
  <c r="AM112" i="6" s="1"/>
  <c r="C112" i="6"/>
  <c r="D111" i="6"/>
  <c r="C111" i="6"/>
  <c r="W111" i="6" s="1"/>
  <c r="AL110" i="6"/>
  <c r="W110" i="6"/>
  <c r="F110" i="6"/>
  <c r="D110" i="6"/>
  <c r="C110" i="6"/>
  <c r="K110" i="6" s="1"/>
  <c r="AM109" i="6"/>
  <c r="X109" i="6"/>
  <c r="W109" i="6"/>
  <c r="F109" i="6"/>
  <c r="D109" i="6"/>
  <c r="L109" i="6" s="1"/>
  <c r="C109" i="6"/>
  <c r="AL109" i="6" s="1"/>
  <c r="G108" i="6"/>
  <c r="D108" i="6"/>
  <c r="AM108" i="6" s="1"/>
  <c r="C108" i="6"/>
  <c r="D107" i="6"/>
  <c r="C107" i="6"/>
  <c r="W107" i="6" s="1"/>
  <c r="AL106" i="6"/>
  <c r="W106" i="6"/>
  <c r="F106" i="6"/>
  <c r="D106" i="6"/>
  <c r="C106" i="6"/>
  <c r="K106" i="6" s="1"/>
  <c r="L105" i="6"/>
  <c r="D105" i="6"/>
  <c r="AM105" i="6" s="1"/>
  <c r="C105" i="6"/>
  <c r="F105" i="6" s="1"/>
  <c r="L104" i="6"/>
  <c r="D104" i="6"/>
  <c r="AM104" i="6" s="1"/>
  <c r="C104" i="6"/>
  <c r="D103" i="6"/>
  <c r="L103" i="6" s="1"/>
  <c r="C103" i="6"/>
  <c r="AL102" i="6"/>
  <c r="K102" i="6"/>
  <c r="D102" i="6"/>
  <c r="AM102" i="6" s="1"/>
  <c r="C102" i="6"/>
  <c r="E102" i="6" s="1"/>
  <c r="AM101" i="6"/>
  <c r="L101" i="6"/>
  <c r="G101" i="6"/>
  <c r="D101" i="6"/>
  <c r="X101" i="6" s="1"/>
  <c r="C101" i="6"/>
  <c r="AL101" i="6" s="1"/>
  <c r="X100" i="6"/>
  <c r="W100" i="6"/>
  <c r="G100" i="6"/>
  <c r="F100" i="6"/>
  <c r="D100" i="6"/>
  <c r="AM100" i="6" s="1"/>
  <c r="C100" i="6"/>
  <c r="K100" i="6" s="1"/>
  <c r="D99" i="6"/>
  <c r="C99" i="6"/>
  <c r="D98" i="6"/>
  <c r="AM98" i="6" s="1"/>
  <c r="C98" i="6"/>
  <c r="AL97" i="6"/>
  <c r="G97" i="6"/>
  <c r="D97" i="6"/>
  <c r="AM97" i="6" s="1"/>
  <c r="C97" i="6"/>
  <c r="W97" i="6" s="1"/>
  <c r="AM96" i="6"/>
  <c r="L96" i="6"/>
  <c r="G96" i="6"/>
  <c r="D96" i="6"/>
  <c r="X96" i="6" s="1"/>
  <c r="T96" i="6" s="1"/>
  <c r="C96" i="6"/>
  <c r="L95" i="6"/>
  <c r="D95" i="6"/>
  <c r="X95" i="6" s="1"/>
  <c r="C95" i="6"/>
  <c r="E95" i="6" s="1"/>
  <c r="AM94" i="6"/>
  <c r="D94" i="6"/>
  <c r="C94" i="6"/>
  <c r="K94" i="6" s="1"/>
  <c r="L93" i="6"/>
  <c r="G93" i="6"/>
  <c r="D93" i="6"/>
  <c r="AM93" i="6" s="1"/>
  <c r="C93" i="6"/>
  <c r="D92" i="6"/>
  <c r="C92" i="6"/>
  <c r="W92" i="6" s="1"/>
  <c r="AL91" i="6"/>
  <c r="D91" i="6"/>
  <c r="C91" i="6"/>
  <c r="D90" i="6"/>
  <c r="C90" i="6"/>
  <c r="L89" i="6"/>
  <c r="D89" i="6"/>
  <c r="AM89" i="6" s="1"/>
  <c r="C89" i="6"/>
  <c r="F88" i="6" s="1"/>
  <c r="W88" i="6"/>
  <c r="D88" i="6"/>
  <c r="G87" i="6" s="1"/>
  <c r="C88" i="6"/>
  <c r="X87" i="6"/>
  <c r="D87" i="6"/>
  <c r="L87" i="6" s="1"/>
  <c r="C87" i="6"/>
  <c r="E86" i="6"/>
  <c r="D86" i="6"/>
  <c r="C86" i="6"/>
  <c r="W85" i="6"/>
  <c r="K85" i="6"/>
  <c r="D85" i="6"/>
  <c r="C85" i="6"/>
  <c r="AL85" i="6" s="1"/>
  <c r="W84" i="6"/>
  <c r="D84" i="6"/>
  <c r="AM84" i="6" s="1"/>
  <c r="C84" i="6"/>
  <c r="AL84" i="6" s="1"/>
  <c r="K83" i="6"/>
  <c r="D83" i="6"/>
  <c r="C83" i="6"/>
  <c r="W83" i="6" s="1"/>
  <c r="X82" i="6"/>
  <c r="G82" i="6"/>
  <c r="D82" i="6"/>
  <c r="AM82" i="6" s="1"/>
  <c r="C82" i="6"/>
  <c r="D81" i="6"/>
  <c r="C81" i="6"/>
  <c r="W81" i="6" s="1"/>
  <c r="AL80" i="6"/>
  <c r="W80" i="6"/>
  <c r="E80" i="6"/>
  <c r="D80" i="6"/>
  <c r="X80" i="6" s="1"/>
  <c r="C80" i="6"/>
  <c r="K80" i="6" s="1"/>
  <c r="AM79" i="6"/>
  <c r="X79" i="6"/>
  <c r="G79" i="6"/>
  <c r="F79" i="6"/>
  <c r="D79" i="6"/>
  <c r="L79" i="6" s="1"/>
  <c r="P79" i="6" s="1"/>
  <c r="C79" i="6"/>
  <c r="AL79" i="6" s="1"/>
  <c r="L78" i="6"/>
  <c r="D78" i="6"/>
  <c r="X78" i="6" s="1"/>
  <c r="C78" i="6"/>
  <c r="D77" i="6"/>
  <c r="C77" i="6"/>
  <c r="W77" i="6" s="1"/>
  <c r="AM76" i="6"/>
  <c r="D76" i="6"/>
  <c r="X76" i="6" s="1"/>
  <c r="C76" i="6"/>
  <c r="E76" i="6" s="1"/>
  <c r="K75" i="6"/>
  <c r="D75" i="6"/>
  <c r="AM75" i="6" s="1"/>
  <c r="C75" i="6"/>
  <c r="X74" i="6"/>
  <c r="D74" i="6"/>
  <c r="C74" i="6"/>
  <c r="D73" i="6"/>
  <c r="C73" i="6"/>
  <c r="K72" i="6"/>
  <c r="F72" i="6"/>
  <c r="D72" i="6"/>
  <c r="C72" i="6"/>
  <c r="AM71" i="6"/>
  <c r="L71" i="6"/>
  <c r="F71" i="6"/>
  <c r="D71" i="6"/>
  <c r="X71" i="6" s="1"/>
  <c r="C71" i="6"/>
  <c r="AL71" i="6" s="1"/>
  <c r="L70" i="6"/>
  <c r="G70" i="6"/>
  <c r="P70" i="6" s="1"/>
  <c r="D70" i="6"/>
  <c r="AM70" i="6" s="1"/>
  <c r="C70" i="6"/>
  <c r="AL69" i="6"/>
  <c r="D69" i="6"/>
  <c r="C69" i="6"/>
  <c r="W69" i="6" s="1"/>
  <c r="AM68" i="6"/>
  <c r="AL68" i="6"/>
  <c r="W68" i="6"/>
  <c r="F68" i="6"/>
  <c r="D68" i="6"/>
  <c r="X68" i="6" s="1"/>
  <c r="C68" i="6"/>
  <c r="K68" i="6" s="1"/>
  <c r="W67" i="6"/>
  <c r="D67" i="6"/>
  <c r="X67" i="6" s="1"/>
  <c r="C67" i="6"/>
  <c r="AL67" i="6" s="1"/>
  <c r="X66" i="6"/>
  <c r="L66" i="6"/>
  <c r="D66" i="6"/>
  <c r="AM66" i="6" s="1"/>
  <c r="C66" i="6"/>
  <c r="AL65" i="6"/>
  <c r="D65" i="6"/>
  <c r="C65" i="6"/>
  <c r="W65" i="6" s="1"/>
  <c r="AM64" i="6"/>
  <c r="W64" i="6"/>
  <c r="F64" i="6"/>
  <c r="D64" i="6"/>
  <c r="X64" i="6" s="1"/>
  <c r="C64" i="6"/>
  <c r="AL64" i="6" s="1"/>
  <c r="AM63" i="6"/>
  <c r="L63" i="6"/>
  <c r="G63" i="6"/>
  <c r="D63" i="6"/>
  <c r="X63" i="6" s="1"/>
  <c r="T63" i="6" s="1"/>
  <c r="C63" i="6"/>
  <c r="K63" i="6" s="1"/>
  <c r="L62" i="6"/>
  <c r="D62" i="6"/>
  <c r="AM62" i="6" s="1"/>
  <c r="C62" i="6"/>
  <c r="AL61" i="6"/>
  <c r="D61" i="6"/>
  <c r="L61" i="6" s="1"/>
  <c r="C61" i="6"/>
  <c r="E61" i="6" s="1"/>
  <c r="D60" i="6"/>
  <c r="G59" i="6" s="1"/>
  <c r="C60" i="6"/>
  <c r="K60" i="6" s="1"/>
  <c r="X59" i="6"/>
  <c r="L59" i="6"/>
  <c r="D59" i="6"/>
  <c r="AM59" i="6" s="1"/>
  <c r="C59" i="6"/>
  <c r="AL59" i="6" s="1"/>
  <c r="D58" i="6"/>
  <c r="C58" i="6"/>
  <c r="W58" i="6" s="1"/>
  <c r="L57" i="6"/>
  <c r="D57" i="6"/>
  <c r="X57" i="6" s="1"/>
  <c r="C57" i="6"/>
  <c r="W56" i="6"/>
  <c r="K56" i="6"/>
  <c r="D56" i="6"/>
  <c r="C56" i="6"/>
  <c r="AL56" i="6" s="1"/>
  <c r="AM55" i="6"/>
  <c r="X55" i="6"/>
  <c r="L55" i="6"/>
  <c r="D55" i="6"/>
  <c r="C55" i="6"/>
  <c r="D54" i="6"/>
  <c r="X54" i="6" s="1"/>
  <c r="C54" i="6"/>
  <c r="K54" i="6" s="1"/>
  <c r="D53" i="6"/>
  <c r="C53" i="6"/>
  <c r="D52" i="6"/>
  <c r="AM52" i="6" s="1"/>
  <c r="C52" i="6"/>
  <c r="W52" i="6" s="1"/>
  <c r="L51" i="6"/>
  <c r="D51" i="6"/>
  <c r="AM51" i="6" s="1"/>
  <c r="C51" i="6"/>
  <c r="W51" i="6" s="1"/>
  <c r="AM50" i="6"/>
  <c r="L50" i="6"/>
  <c r="F50" i="6"/>
  <c r="D50" i="6"/>
  <c r="X50" i="6" s="1"/>
  <c r="C50" i="6"/>
  <c r="D49" i="6"/>
  <c r="C49" i="6"/>
  <c r="K48" i="6"/>
  <c r="D48" i="6"/>
  <c r="AM48" i="6" s="1"/>
  <c r="C48" i="6"/>
  <c r="AL47" i="6"/>
  <c r="W47" i="6"/>
  <c r="K47" i="6"/>
  <c r="D47" i="6"/>
  <c r="C47" i="6"/>
  <c r="X46" i="6"/>
  <c r="D46" i="6"/>
  <c r="AM46" i="6" s="1"/>
  <c r="C46" i="6"/>
  <c r="D45" i="6"/>
  <c r="C45" i="6"/>
  <c r="W45" i="6" s="1"/>
  <c r="AL44" i="6"/>
  <c r="W44" i="6"/>
  <c r="F44" i="6"/>
  <c r="D44" i="6"/>
  <c r="C44" i="6"/>
  <c r="K44" i="6" s="1"/>
  <c r="AM43" i="6"/>
  <c r="X43" i="6"/>
  <c r="W43" i="6"/>
  <c r="Y43" i="6" s="1"/>
  <c r="F43" i="6"/>
  <c r="D43" i="6"/>
  <c r="L43" i="6" s="1"/>
  <c r="C43" i="6"/>
  <c r="AL43" i="6" s="1"/>
  <c r="G42" i="6"/>
  <c r="D42" i="6"/>
  <c r="AM42" i="6" s="1"/>
  <c r="C42" i="6"/>
  <c r="D41" i="6"/>
  <c r="C41" i="6"/>
  <c r="W41" i="6" s="1"/>
  <c r="AL40" i="6"/>
  <c r="E40" i="6"/>
  <c r="D40" i="6"/>
  <c r="X40" i="6" s="1"/>
  <c r="C40" i="6"/>
  <c r="W40" i="6" s="1"/>
  <c r="X39" i="6"/>
  <c r="G39" i="6"/>
  <c r="D39" i="6"/>
  <c r="L39" i="6" s="1"/>
  <c r="P39" i="6" s="1"/>
  <c r="C39" i="6"/>
  <c r="AL39" i="6" s="1"/>
  <c r="X38" i="6"/>
  <c r="T38" i="6" s="1"/>
  <c r="G38" i="6"/>
  <c r="D38" i="6"/>
  <c r="AM38" i="6" s="1"/>
  <c r="C38" i="6"/>
  <c r="D37" i="6"/>
  <c r="C37" i="6"/>
  <c r="W37" i="6" s="1"/>
  <c r="AM36" i="6"/>
  <c r="W36" i="6"/>
  <c r="F36" i="6"/>
  <c r="D36" i="6"/>
  <c r="X36" i="6" s="1"/>
  <c r="C36" i="6"/>
  <c r="AL36" i="6" s="1"/>
  <c r="AM35" i="6"/>
  <c r="W35" i="6"/>
  <c r="G35" i="6"/>
  <c r="D35" i="6"/>
  <c r="X35" i="6" s="1"/>
  <c r="T35" i="6" s="1"/>
  <c r="C35" i="6"/>
  <c r="AL35" i="6" s="1"/>
  <c r="D34" i="6"/>
  <c r="X34" i="6" s="1"/>
  <c r="C34" i="6"/>
  <c r="D33" i="6"/>
  <c r="C33" i="6"/>
  <c r="K32" i="6"/>
  <c r="D32" i="6"/>
  <c r="C32" i="6"/>
  <c r="AL32" i="6" s="1"/>
  <c r="X31" i="6"/>
  <c r="T31" i="6" s="1"/>
  <c r="G31" i="6"/>
  <c r="D31" i="6"/>
  <c r="L31" i="6" s="1"/>
  <c r="P31" i="6" s="1"/>
  <c r="C31" i="6"/>
  <c r="W30" i="6"/>
  <c r="D30" i="6"/>
  <c r="L30" i="6" s="1"/>
  <c r="C30" i="6"/>
  <c r="K30" i="6" s="1"/>
  <c r="D29" i="6"/>
  <c r="C29" i="6"/>
  <c r="F28" i="6" s="1"/>
  <c r="AL28" i="6"/>
  <c r="K28" i="6"/>
  <c r="D28" i="6"/>
  <c r="C28" i="6"/>
  <c r="W28" i="6" s="1"/>
  <c r="D27" i="6"/>
  <c r="AM27" i="6" s="1"/>
  <c r="C27" i="6"/>
  <c r="W27" i="6" s="1"/>
  <c r="AM26" i="6"/>
  <c r="D26" i="6"/>
  <c r="C26" i="6"/>
  <c r="D25" i="6"/>
  <c r="C25" i="6"/>
  <c r="AL25" i="6" s="1"/>
  <c r="AM24" i="6"/>
  <c r="W24" i="6"/>
  <c r="F24" i="6"/>
  <c r="D24" i="6"/>
  <c r="C24" i="6"/>
  <c r="AL24" i="6" s="1"/>
  <c r="AM23" i="6"/>
  <c r="X23" i="6"/>
  <c r="T23" i="6"/>
  <c r="L23" i="6"/>
  <c r="G23" i="6"/>
  <c r="D23" i="6"/>
  <c r="C23" i="6"/>
  <c r="D22" i="6"/>
  <c r="AM22" i="6" s="1"/>
  <c r="C22" i="6"/>
  <c r="L21" i="6"/>
  <c r="D21" i="6"/>
  <c r="X21" i="6" s="1"/>
  <c r="C21" i="6"/>
  <c r="W20" i="6"/>
  <c r="K20" i="6"/>
  <c r="D20" i="6"/>
  <c r="C20" i="6"/>
  <c r="AL20" i="6" s="1"/>
  <c r="AM19" i="6"/>
  <c r="W19" i="6"/>
  <c r="G19" i="6"/>
  <c r="D19" i="6"/>
  <c r="X19" i="6" s="1"/>
  <c r="C19" i="6"/>
  <c r="AL19" i="6" s="1"/>
  <c r="K18" i="6"/>
  <c r="D18" i="6"/>
  <c r="X18" i="6" s="1"/>
  <c r="C18" i="6"/>
  <c r="W18" i="6" s="1"/>
  <c r="D17" i="6"/>
  <c r="AM17" i="6" s="1"/>
  <c r="C17" i="6"/>
  <c r="W17" i="6" s="1"/>
  <c r="W16" i="6"/>
  <c r="F16" i="6"/>
  <c r="D16" i="6"/>
  <c r="X16" i="6" s="1"/>
  <c r="C16" i="6"/>
  <c r="AL16" i="6" s="1"/>
  <c r="AM15" i="6"/>
  <c r="D15" i="6"/>
  <c r="X15" i="6" s="1"/>
  <c r="C15" i="6"/>
  <c r="D14" i="6"/>
  <c r="C14" i="6"/>
  <c r="AL14" i="6" s="1"/>
  <c r="D13" i="6"/>
  <c r="AM13" i="6" s="1"/>
  <c r="C13" i="6"/>
  <c r="W13" i="6" s="1"/>
  <c r="AL12" i="6"/>
  <c r="E12" i="6"/>
  <c r="D12" i="6"/>
  <c r="X12" i="6" s="1"/>
  <c r="C12" i="6"/>
  <c r="W12" i="6" s="1"/>
  <c r="X11" i="6"/>
  <c r="G11" i="6"/>
  <c r="D11" i="6"/>
  <c r="G10" i="6" s="1"/>
  <c r="C11" i="6"/>
  <c r="AL11" i="6" s="1"/>
  <c r="X10" i="6"/>
  <c r="T10" i="6" s="1"/>
  <c r="D10" i="6"/>
  <c r="AM10" i="6" s="1"/>
  <c r="C10" i="6"/>
  <c r="AL10" i="6" s="1"/>
  <c r="D9" i="6"/>
  <c r="AM9" i="6" s="1"/>
  <c r="C9" i="6"/>
  <c r="W9" i="6" s="1"/>
  <c r="AM8" i="6"/>
  <c r="W8" i="6"/>
  <c r="F8" i="6"/>
  <c r="D8" i="6"/>
  <c r="X8" i="6" s="1"/>
  <c r="C8" i="6"/>
  <c r="AL8" i="6" s="1"/>
  <c r="AM7" i="6"/>
  <c r="D7" i="6"/>
  <c r="X7" i="6" s="1"/>
  <c r="C7" i="6"/>
  <c r="K7" i="6" s="1"/>
  <c r="D6" i="6"/>
  <c r="C6" i="6"/>
  <c r="AL6" i="6" s="1"/>
  <c r="D5" i="6"/>
  <c r="AM5" i="6" s="1"/>
  <c r="C5" i="6"/>
  <c r="D4" i="6"/>
  <c r="X4" i="6" s="1"/>
  <c r="C4" i="6"/>
  <c r="W3" i="6"/>
  <c r="L3" i="6"/>
  <c r="D3" i="6"/>
  <c r="C3" i="6"/>
  <c r="AL3" i="6" s="1"/>
  <c r="AA67" i="7" l="1"/>
  <c r="AA69" i="7" s="1"/>
  <c r="AA52" i="7"/>
  <c r="AA51" i="7"/>
  <c r="AS33" i="7"/>
  <c r="AA59" i="7"/>
  <c r="AA58" i="7"/>
  <c r="F28" i="7"/>
  <c r="K28" i="7" s="1"/>
  <c r="AA32" i="7"/>
  <c r="AA31" i="7"/>
  <c r="AA23" i="7"/>
  <c r="AA25" i="7" s="1"/>
  <c r="AA14" i="7"/>
  <c r="AA15" i="7"/>
  <c r="S27" i="7"/>
  <c r="S24" i="7"/>
  <c r="S25" i="7"/>
  <c r="S23" i="7"/>
  <c r="S28" i="7"/>
  <c r="S26" i="7"/>
  <c r="S22" i="7"/>
  <c r="AA46" i="7"/>
  <c r="AA24" i="7"/>
  <c r="AM14" i="6"/>
  <c r="X14" i="6"/>
  <c r="T14" i="6" s="1"/>
  <c r="L14" i="6"/>
  <c r="G14" i="6"/>
  <c r="O114" i="6"/>
  <c r="AM3" i="6"/>
  <c r="X3" i="6"/>
  <c r="G3" i="6"/>
  <c r="T3" i="6" s="1"/>
  <c r="AL15" i="6"/>
  <c r="W15" i="6"/>
  <c r="Y15" i="6" s="1"/>
  <c r="F15" i="6"/>
  <c r="P35" i="6"/>
  <c r="T39" i="6"/>
  <c r="K34" i="6"/>
  <c r="O34" i="6" s="1"/>
  <c r="F34" i="6"/>
  <c r="X44" i="6"/>
  <c r="E44" i="6"/>
  <c r="G43" i="6"/>
  <c r="T43" i="6" s="1"/>
  <c r="P3" i="6"/>
  <c r="AL49" i="6"/>
  <c r="F48" i="6"/>
  <c r="AL4" i="6"/>
  <c r="E4" i="6"/>
  <c r="W4" i="6"/>
  <c r="F3" i="6"/>
  <c r="H3" i="6" s="1"/>
  <c r="AL23" i="6"/>
  <c r="AN23" i="6" s="1"/>
  <c r="E23" i="6"/>
  <c r="W23" i="6"/>
  <c r="Y23" i="6" s="1"/>
  <c r="AB23" i="6" s="1"/>
  <c r="K23" i="6"/>
  <c r="M23" i="6" s="1"/>
  <c r="AM30" i="6"/>
  <c r="AO30" i="6" s="1"/>
  <c r="AS30" i="6" s="1"/>
  <c r="X30" i="6"/>
  <c r="G30" i="6"/>
  <c r="P30" i="6" s="1"/>
  <c r="Q30" i="6" s="1"/>
  <c r="K52" i="6"/>
  <c r="E52" i="6"/>
  <c r="AL52" i="6"/>
  <c r="K4" i="6"/>
  <c r="AM6" i="6"/>
  <c r="X6" i="6"/>
  <c r="T6" i="6" s="1"/>
  <c r="L6" i="6"/>
  <c r="G6" i="6"/>
  <c r="AM28" i="6"/>
  <c r="E28" i="6"/>
  <c r="W34" i="6"/>
  <c r="S34" i="6" s="1"/>
  <c r="W5" i="6"/>
  <c r="F4" i="6"/>
  <c r="O4" i="6" s="1"/>
  <c r="AL5" i="6"/>
  <c r="AL7" i="6"/>
  <c r="W7" i="6"/>
  <c r="Y7" i="6" s="1"/>
  <c r="F7" i="6"/>
  <c r="H7" i="6" s="1"/>
  <c r="T11" i="6"/>
  <c r="K15" i="6"/>
  <c r="T19" i="6"/>
  <c r="F20" i="6"/>
  <c r="O20" i="6" s="1"/>
  <c r="E21" i="6"/>
  <c r="AL21" i="6"/>
  <c r="P23" i="6"/>
  <c r="X26" i="6"/>
  <c r="L26" i="6"/>
  <c r="G27" i="6"/>
  <c r="O30" i="6"/>
  <c r="AL31" i="6"/>
  <c r="F30" i="6"/>
  <c r="H30" i="6" s="1"/>
  <c r="X33" i="6"/>
  <c r="L33" i="6"/>
  <c r="G33" i="6"/>
  <c r="AM47" i="6"/>
  <c r="G46" i="6"/>
  <c r="T46" i="6" s="1"/>
  <c r="X47" i="6"/>
  <c r="T47" i="6" s="1"/>
  <c r="L47" i="6"/>
  <c r="E47" i="6"/>
  <c r="AL48" i="6"/>
  <c r="E48" i="6"/>
  <c r="F47" i="6"/>
  <c r="W48" i="6"/>
  <c r="W54" i="6"/>
  <c r="P59" i="6"/>
  <c r="L67" i="6"/>
  <c r="AM67" i="6"/>
  <c r="M75" i="6"/>
  <c r="X110" i="6"/>
  <c r="E110" i="6"/>
  <c r="G109" i="6"/>
  <c r="T109" i="6" s="1"/>
  <c r="Y3" i="6"/>
  <c r="AB3" i="6" s="1"/>
  <c r="L7" i="6"/>
  <c r="K8" i="6"/>
  <c r="K11" i="6"/>
  <c r="M11" i="6" s="1"/>
  <c r="AM11" i="6"/>
  <c r="F12" i="6"/>
  <c r="L15" i="6"/>
  <c r="K16" i="6"/>
  <c r="O16" i="6" s="1"/>
  <c r="L19" i="6"/>
  <c r="P19" i="6" s="1"/>
  <c r="K24" i="6"/>
  <c r="O24" i="6" s="1"/>
  <c r="G26" i="6"/>
  <c r="K27" i="6"/>
  <c r="X27" i="6"/>
  <c r="T27" i="6" s="1"/>
  <c r="Y30" i="6"/>
  <c r="AB30" i="6" s="1"/>
  <c r="AM31" i="6"/>
  <c r="W32" i="6"/>
  <c r="L35" i="6"/>
  <c r="K36" i="6"/>
  <c r="K39" i="6"/>
  <c r="M39" i="6" s="1"/>
  <c r="AM39" i="6"/>
  <c r="F40" i="6"/>
  <c r="X42" i="6"/>
  <c r="T42" i="6" s="1"/>
  <c r="G50" i="6"/>
  <c r="P50" i="6" s="1"/>
  <c r="AM54" i="6"/>
  <c r="W59" i="6"/>
  <c r="W60" i="6"/>
  <c r="X62" i="6"/>
  <c r="T62" i="6" s="1"/>
  <c r="K64" i="6"/>
  <c r="F67" i="6"/>
  <c r="H67" i="6" s="1"/>
  <c r="X70" i="6"/>
  <c r="T70" i="6" s="1"/>
  <c r="K71" i="6"/>
  <c r="M71" i="6" s="1"/>
  <c r="AL72" i="6"/>
  <c r="E72" i="6"/>
  <c r="W72" i="6"/>
  <c r="AL75" i="6"/>
  <c r="W75" i="6"/>
  <c r="L75" i="6"/>
  <c r="AL76" i="6"/>
  <c r="AL77" i="6"/>
  <c r="T79" i="6"/>
  <c r="F80" i="6"/>
  <c r="T82" i="6"/>
  <c r="S85" i="6"/>
  <c r="G89" i="6"/>
  <c r="P89" i="6" s="1"/>
  <c r="AL98" i="6"/>
  <c r="E98" i="6"/>
  <c r="W98" i="6"/>
  <c r="S98" i="6" s="1"/>
  <c r="T101" i="6"/>
  <c r="G116" i="6"/>
  <c r="X117" i="6"/>
  <c r="Y117" i="6" s="1"/>
  <c r="AB117" i="6" s="1"/>
  <c r="E117" i="6"/>
  <c r="AM117" i="6"/>
  <c r="W126" i="6"/>
  <c r="S126" i="6" s="1"/>
  <c r="U126" i="6" s="1"/>
  <c r="F126" i="6"/>
  <c r="H71" i="6"/>
  <c r="K90" i="6"/>
  <c r="W90" i="6"/>
  <c r="AL99" i="6"/>
  <c r="F98" i="6"/>
  <c r="L11" i="6"/>
  <c r="P11" i="6" s="1"/>
  <c r="K12" i="6"/>
  <c r="M12" i="6" s="1"/>
  <c r="Y19" i="6"/>
  <c r="Y35" i="6"/>
  <c r="Y36" i="6"/>
  <c r="K40" i="6"/>
  <c r="O40" i="6" s="1"/>
  <c r="K43" i="6"/>
  <c r="M43" i="6" s="1"/>
  <c r="X51" i="6"/>
  <c r="F58" i="6"/>
  <c r="S58" i="6" s="1"/>
  <c r="F59" i="6"/>
  <c r="H59" i="6" s="1"/>
  <c r="T59" i="6"/>
  <c r="F60" i="6"/>
  <c r="O60" i="6" s="1"/>
  <c r="AL60" i="6"/>
  <c r="G61" i="6"/>
  <c r="P61" i="6" s="1"/>
  <c r="P63" i="6"/>
  <c r="S64" i="6"/>
  <c r="G66" i="6"/>
  <c r="P66" i="6" s="1"/>
  <c r="G67" i="6"/>
  <c r="T67" i="6" s="1"/>
  <c r="Y67" i="6"/>
  <c r="P71" i="6"/>
  <c r="X72" i="6"/>
  <c r="Y72" i="6" s="1"/>
  <c r="AB72" i="6" s="1"/>
  <c r="AO72" i="6" s="1"/>
  <c r="AS72" i="6" s="1"/>
  <c r="G71" i="6"/>
  <c r="T71" i="6" s="1"/>
  <c r="AM72" i="6"/>
  <c r="AM74" i="6"/>
  <c r="L74" i="6"/>
  <c r="P74" i="6" s="1"/>
  <c r="X75" i="6"/>
  <c r="K79" i="6"/>
  <c r="M79" i="6" s="1"/>
  <c r="X84" i="6"/>
  <c r="L84" i="6"/>
  <c r="P84" i="6" s="1"/>
  <c r="W86" i="6"/>
  <c r="K86" i="6"/>
  <c r="F85" i="6"/>
  <c r="O85" i="6" s="1"/>
  <c r="P87" i="6"/>
  <c r="F90" i="6"/>
  <c r="X91" i="6"/>
  <c r="E91" i="6"/>
  <c r="O100" i="6"/>
  <c r="Y100" i="6"/>
  <c r="S100" i="6"/>
  <c r="P109" i="6"/>
  <c r="W122" i="6"/>
  <c r="F121" i="6"/>
  <c r="AL134" i="6"/>
  <c r="W134" i="6"/>
  <c r="W139" i="6"/>
  <c r="AL139" i="6"/>
  <c r="E139" i="6"/>
  <c r="F138" i="6"/>
  <c r="S138" i="6" s="1"/>
  <c r="K143" i="6"/>
  <c r="M143" i="6" s="1"/>
  <c r="W143" i="6"/>
  <c r="F142" i="6"/>
  <c r="H142" i="6" s="1"/>
  <c r="E143" i="6"/>
  <c r="W76" i="6"/>
  <c r="F75" i="6"/>
  <c r="K76" i="6"/>
  <c r="O76" i="6" s="1"/>
  <c r="T87" i="6"/>
  <c r="AL90" i="6"/>
  <c r="AL94" i="6"/>
  <c r="F93" i="6"/>
  <c r="H93" i="6" s="1"/>
  <c r="W94" i="6"/>
  <c r="E94" i="6"/>
  <c r="F114" i="6"/>
  <c r="AL114" i="6"/>
  <c r="E114" i="6"/>
  <c r="W114" i="6"/>
  <c r="F113" i="6"/>
  <c r="H113" i="6" s="1"/>
  <c r="L27" i="6"/>
  <c r="P27" i="6" s="1"/>
  <c r="K3" i="6"/>
  <c r="M3" i="6" s="1"/>
  <c r="AM4" i="6"/>
  <c r="G7" i="6"/>
  <c r="T7" i="6" s="1"/>
  <c r="E8" i="6"/>
  <c r="AL9" i="6"/>
  <c r="L10" i="6"/>
  <c r="P10" i="6" s="1"/>
  <c r="F11" i="6"/>
  <c r="H11" i="6" s="1"/>
  <c r="W11" i="6"/>
  <c r="Y11" i="6" s="1"/>
  <c r="AB11" i="6" s="1"/>
  <c r="AN11" i="6" s="1"/>
  <c r="G15" i="6"/>
  <c r="T15" i="6" s="1"/>
  <c r="E16" i="6"/>
  <c r="F19" i="6"/>
  <c r="H19" i="6" s="1"/>
  <c r="G21" i="6"/>
  <c r="T21" i="6" s="1"/>
  <c r="F23" i="6"/>
  <c r="H23" i="6" s="1"/>
  <c r="E24" i="6"/>
  <c r="E27" i="6"/>
  <c r="E32" i="6"/>
  <c r="F35" i="6"/>
  <c r="H35" i="6" s="1"/>
  <c r="E36" i="6"/>
  <c r="AL37" i="6"/>
  <c r="L38" i="6"/>
  <c r="P38" i="6" s="1"/>
  <c r="F39" i="6"/>
  <c r="H39" i="6" s="1"/>
  <c r="W39" i="6"/>
  <c r="Y39" i="6" s="1"/>
  <c r="AL41" i="6"/>
  <c r="L42" i="6"/>
  <c r="P42" i="6" s="1"/>
  <c r="L46" i="6"/>
  <c r="P46" i="6" s="1"/>
  <c r="G47" i="6"/>
  <c r="G51" i="6"/>
  <c r="P51" i="6" s="1"/>
  <c r="L54" i="6"/>
  <c r="M54" i="6" s="1"/>
  <c r="K58" i="6"/>
  <c r="G62" i="6"/>
  <c r="P62" i="6" s="1"/>
  <c r="E64" i="6"/>
  <c r="K67" i="6"/>
  <c r="M67" i="6" s="1"/>
  <c r="E68" i="6"/>
  <c r="W71" i="6"/>
  <c r="W73" i="6"/>
  <c r="AL73" i="6"/>
  <c r="G74" i="6"/>
  <c r="T74" i="6" s="1"/>
  <c r="G75" i="6"/>
  <c r="T75" i="6" s="1"/>
  <c r="F76" i="6"/>
  <c r="AM78" i="6"/>
  <c r="G78" i="6"/>
  <c r="P78" i="6" s="1"/>
  <c r="W79" i="6"/>
  <c r="Y79" i="6" s="1"/>
  <c r="G84" i="6"/>
  <c r="X89" i="6"/>
  <c r="Y89" i="6" s="1"/>
  <c r="L91" i="6"/>
  <c r="AL93" i="6"/>
  <c r="E93" i="6"/>
  <c r="K93" i="6"/>
  <c r="M93" i="6" s="1"/>
  <c r="W93" i="6"/>
  <c r="K98" i="6"/>
  <c r="X103" i="6"/>
  <c r="X106" i="6"/>
  <c r="Y106" i="6" s="1"/>
  <c r="AB106" i="6" s="1"/>
  <c r="G105" i="6"/>
  <c r="P105" i="6" s="1"/>
  <c r="E106" i="6"/>
  <c r="H109" i="6"/>
  <c r="P116" i="6"/>
  <c r="L117" i="6"/>
  <c r="AM121" i="6"/>
  <c r="L121" i="6"/>
  <c r="X121" i="6"/>
  <c r="Y121" i="6" s="1"/>
  <c r="G121" i="6"/>
  <c r="AM123" i="6"/>
  <c r="G122" i="6"/>
  <c r="P122" i="6" s="1"/>
  <c r="E123" i="6"/>
  <c r="F125" i="6"/>
  <c r="O125" i="6" s="1"/>
  <c r="P126" i="6"/>
  <c r="AL130" i="6"/>
  <c r="W130" i="6"/>
  <c r="F130" i="6"/>
  <c r="H130" i="6" s="1"/>
  <c r="T137" i="6"/>
  <c r="AL142" i="6"/>
  <c r="E142" i="6"/>
  <c r="W142" i="6"/>
  <c r="Y142" i="6" s="1"/>
  <c r="W89" i="6"/>
  <c r="X93" i="6"/>
  <c r="T93" i="6" s="1"/>
  <c r="AL95" i="6"/>
  <c r="P96" i="6"/>
  <c r="K97" i="6"/>
  <c r="X97" i="6"/>
  <c r="T97" i="6" s="1"/>
  <c r="P101" i="6"/>
  <c r="W102" i="6"/>
  <c r="G103" i="6"/>
  <c r="P103" i="6" s="1"/>
  <c r="H105" i="6"/>
  <c r="X105" i="6"/>
  <c r="X108" i="6"/>
  <c r="T108" i="6" s="1"/>
  <c r="X112" i="6"/>
  <c r="T112" i="6" s="1"/>
  <c r="W113" i="6"/>
  <c r="Y113" i="6" s="1"/>
  <c r="X116" i="6"/>
  <c r="T116" i="6" s="1"/>
  <c r="W118" i="6"/>
  <c r="X122" i="6"/>
  <c r="T122" i="6" s="1"/>
  <c r="X124" i="6"/>
  <c r="T124" i="6" s="1"/>
  <c r="K127" i="6"/>
  <c r="O127" i="6" s="1"/>
  <c r="AM127" i="6"/>
  <c r="L130" i="6"/>
  <c r="P130" i="6" s="1"/>
  <c r="AM130" i="6"/>
  <c r="F131" i="6"/>
  <c r="L134" i="6"/>
  <c r="P134" i="6" s="1"/>
  <c r="K135" i="6"/>
  <c r="P141" i="6"/>
  <c r="P93" i="6"/>
  <c r="L97" i="6"/>
  <c r="P97" i="6" s="1"/>
  <c r="K109" i="6"/>
  <c r="K131" i="6"/>
  <c r="O131" i="6" s="1"/>
  <c r="F134" i="6"/>
  <c r="W135" i="6"/>
  <c r="K138" i="6"/>
  <c r="O138" i="6" s="1"/>
  <c r="T141" i="6"/>
  <c r="L82" i="6"/>
  <c r="F83" i="6"/>
  <c r="F84" i="6"/>
  <c r="H84" i="6" s="1"/>
  <c r="K92" i="6"/>
  <c r="F94" i="6"/>
  <c r="E97" i="6"/>
  <c r="F104" i="6"/>
  <c r="L108" i="6"/>
  <c r="P108" i="6" s="1"/>
  <c r="L112" i="6"/>
  <c r="P112" i="6" s="1"/>
  <c r="K113" i="6"/>
  <c r="M113" i="6" s="1"/>
  <c r="K117" i="6"/>
  <c r="X125" i="6"/>
  <c r="T125" i="6" s="1"/>
  <c r="G126" i="6"/>
  <c r="E127" i="6"/>
  <c r="G129" i="6"/>
  <c r="P129" i="6" s="1"/>
  <c r="X129" i="6"/>
  <c r="T129" i="6" s="1"/>
  <c r="G133" i="6"/>
  <c r="P133" i="6" s="1"/>
  <c r="X133" i="6"/>
  <c r="T133" i="6" s="1"/>
  <c r="G134" i="6"/>
  <c r="T134" i="6" s="1"/>
  <c r="E135" i="6"/>
  <c r="AM138" i="6"/>
  <c r="AM142" i="6"/>
  <c r="AA4" i="6"/>
  <c r="AD30" i="6"/>
  <c r="AE30" i="6"/>
  <c r="AD7" i="6"/>
  <c r="AE7" i="6"/>
  <c r="AD15" i="6"/>
  <c r="AF15" i="6" s="1"/>
  <c r="AE15" i="6"/>
  <c r="S18" i="6"/>
  <c r="Y18" i="6"/>
  <c r="Y4" i="6"/>
  <c r="Y8" i="6"/>
  <c r="Y16" i="6"/>
  <c r="O28" i="6"/>
  <c r="Y27" i="6"/>
  <c r="AB27" i="6" s="1"/>
  <c r="AO27" i="6" s="1"/>
  <c r="AS27" i="6" s="1"/>
  <c r="AD43" i="6"/>
  <c r="AF43" i="6" s="1"/>
  <c r="AE43" i="6"/>
  <c r="I3" i="6"/>
  <c r="AD23" i="6"/>
  <c r="AE23" i="6"/>
  <c r="N3" i="6"/>
  <c r="AE11" i="6"/>
  <c r="Y12" i="6"/>
  <c r="AL22" i="6"/>
  <c r="E22" i="6"/>
  <c r="F21" i="6"/>
  <c r="H21" i="6" s="1"/>
  <c r="AM25" i="6"/>
  <c r="G24" i="6"/>
  <c r="H24" i="6" s="1"/>
  <c r="M63" i="6"/>
  <c r="AL66" i="6"/>
  <c r="E66" i="6"/>
  <c r="F65" i="6"/>
  <c r="W66" i="6"/>
  <c r="K66" i="6"/>
  <c r="X20" i="6"/>
  <c r="L20" i="6"/>
  <c r="AL26" i="6"/>
  <c r="E26" i="6"/>
  <c r="F25" i="6"/>
  <c r="AM29" i="6"/>
  <c r="G28" i="6"/>
  <c r="H28" i="6" s="1"/>
  <c r="W33" i="6"/>
  <c r="K33" i="6"/>
  <c r="AM37" i="6"/>
  <c r="G36" i="6"/>
  <c r="H36" i="6" s="1"/>
  <c r="X37" i="6"/>
  <c r="L37" i="6"/>
  <c r="E37" i="6"/>
  <c r="AL38" i="6"/>
  <c r="E38" i="6"/>
  <c r="F37" i="6"/>
  <c r="W38" i="6"/>
  <c r="K38" i="6"/>
  <c r="AM45" i="6"/>
  <c r="G44" i="6"/>
  <c r="T44" i="6" s="1"/>
  <c r="X45" i="6"/>
  <c r="T45" i="6" s="1"/>
  <c r="L45" i="6"/>
  <c r="P45" i="6" s="1"/>
  <c r="G45" i="6"/>
  <c r="E45" i="6"/>
  <c r="M47" i="6"/>
  <c r="O47" i="6"/>
  <c r="S48" i="6"/>
  <c r="X56" i="6"/>
  <c r="L56" i="6"/>
  <c r="AM56" i="6"/>
  <c r="E56" i="6"/>
  <c r="X58" i="6"/>
  <c r="T58" i="6" s="1"/>
  <c r="G58" i="6"/>
  <c r="AM58" i="6"/>
  <c r="L58" i="6"/>
  <c r="Y59" i="6"/>
  <c r="S59" i="6"/>
  <c r="U59" i="6" s="1"/>
  <c r="AL63" i="6"/>
  <c r="E63" i="6"/>
  <c r="F62" i="6"/>
  <c r="H62" i="6" s="1"/>
  <c r="W63" i="6"/>
  <c r="F63" i="6"/>
  <c r="H63" i="6" s="1"/>
  <c r="S15" i="6"/>
  <c r="U15" i="6" s="1"/>
  <c r="O54" i="6"/>
  <c r="Y76" i="6"/>
  <c r="S4" i="6"/>
  <c r="E5" i="6"/>
  <c r="O8" i="6"/>
  <c r="S8" i="6"/>
  <c r="E9" i="6"/>
  <c r="S12" i="6"/>
  <c r="AM12" i="6"/>
  <c r="E13" i="6"/>
  <c r="AL13" i="6"/>
  <c r="S16" i="6"/>
  <c r="AM16" i="6"/>
  <c r="E17" i="6"/>
  <c r="AL17" i="6"/>
  <c r="F18" i="6"/>
  <c r="L18" i="6"/>
  <c r="P18" i="6" s="1"/>
  <c r="AM18" i="6"/>
  <c r="S19" i="6"/>
  <c r="U19" i="6" s="1"/>
  <c r="K22" i="6"/>
  <c r="AO23" i="6"/>
  <c r="AS23" i="6" s="1"/>
  <c r="S24" i="6"/>
  <c r="E25" i="6"/>
  <c r="L25" i="6"/>
  <c r="AL27" i="6"/>
  <c r="AN27" i="6" s="1"/>
  <c r="M30" i="6"/>
  <c r="S30" i="6"/>
  <c r="L34" i="6"/>
  <c r="AM34" i="6"/>
  <c r="O36" i="6"/>
  <c r="S39" i="6"/>
  <c r="U39" i="6" s="1"/>
  <c r="Y44" i="6"/>
  <c r="X32" i="6"/>
  <c r="L32" i="6"/>
  <c r="AL46" i="6"/>
  <c r="E46" i="6"/>
  <c r="F45" i="6"/>
  <c r="H45" i="6" s="1"/>
  <c r="W46" i="6"/>
  <c r="K46" i="6"/>
  <c r="F46" i="6"/>
  <c r="H46" i="6" s="1"/>
  <c r="AM49" i="6"/>
  <c r="G48" i="6"/>
  <c r="H48" i="6" s="1"/>
  <c r="X49" i="6"/>
  <c r="G49" i="6"/>
  <c r="L49" i="6"/>
  <c r="AL55" i="6"/>
  <c r="K55" i="6"/>
  <c r="E55" i="6"/>
  <c r="W55" i="6"/>
  <c r="F55" i="6"/>
  <c r="O71" i="6"/>
  <c r="Q71" i="6" s="1"/>
  <c r="O83" i="6"/>
  <c r="AL18" i="6"/>
  <c r="E18" i="6"/>
  <c r="AM21" i="6"/>
  <c r="G20" i="6"/>
  <c r="W25" i="6"/>
  <c r="K25" i="6"/>
  <c r="X28" i="6"/>
  <c r="T28" i="6" s="1"/>
  <c r="L28" i="6"/>
  <c r="AL34" i="6"/>
  <c r="E34" i="6"/>
  <c r="F33" i="6"/>
  <c r="H33" i="6" s="1"/>
  <c r="AM41" i="6"/>
  <c r="G40" i="6"/>
  <c r="H40" i="6" s="1"/>
  <c r="X41" i="6"/>
  <c r="L41" i="6"/>
  <c r="E41" i="6"/>
  <c r="AL42" i="6"/>
  <c r="E42" i="6"/>
  <c r="F41" i="6"/>
  <c r="S41" i="6" s="1"/>
  <c r="W42" i="6"/>
  <c r="K42" i="6"/>
  <c r="F42" i="6"/>
  <c r="H42" i="6" s="1"/>
  <c r="W53" i="6"/>
  <c r="K53" i="6"/>
  <c r="AL53" i="6"/>
  <c r="E53" i="6"/>
  <c r="F52" i="6"/>
  <c r="H52" i="6" s="1"/>
  <c r="Y54" i="6"/>
  <c r="M58" i="6"/>
  <c r="O3" i="6"/>
  <c r="Q3" i="6" s="1"/>
  <c r="O15" i="6"/>
  <c r="E3" i="6"/>
  <c r="G5" i="6"/>
  <c r="L5" i="6"/>
  <c r="X5" i="6"/>
  <c r="F6" i="6"/>
  <c r="H6" i="6" s="1"/>
  <c r="K6" i="6"/>
  <c r="W6" i="6"/>
  <c r="E7" i="6"/>
  <c r="G9" i="6"/>
  <c r="L9" i="6"/>
  <c r="P9" i="6" s="1"/>
  <c r="X9" i="6"/>
  <c r="T9" i="6" s="1"/>
  <c r="F10" i="6"/>
  <c r="H10" i="6" s="1"/>
  <c r="K10" i="6"/>
  <c r="W10" i="6"/>
  <c r="E11" i="6"/>
  <c r="G13" i="6"/>
  <c r="L13" i="6"/>
  <c r="X13" i="6"/>
  <c r="T13" i="6" s="1"/>
  <c r="F14" i="6"/>
  <c r="H14" i="6" s="1"/>
  <c r="K14" i="6"/>
  <c r="W14" i="6"/>
  <c r="E15" i="6"/>
  <c r="G17" i="6"/>
  <c r="L17" i="6"/>
  <c r="X17" i="6"/>
  <c r="T17" i="6" s="1"/>
  <c r="O18" i="6"/>
  <c r="Q18" i="6" s="1"/>
  <c r="E19" i="6"/>
  <c r="K19" i="6"/>
  <c r="AB19" i="6" s="1"/>
  <c r="AM20" i="6"/>
  <c r="G22" i="6"/>
  <c r="X22" i="6"/>
  <c r="O23" i="6"/>
  <c r="Q23" i="6" s="1"/>
  <c r="F26" i="6"/>
  <c r="W26" i="6"/>
  <c r="G29" i="6"/>
  <c r="X29" i="6"/>
  <c r="T29" i="6" s="1"/>
  <c r="F31" i="6"/>
  <c r="H31" i="6" s="1"/>
  <c r="W31" i="6"/>
  <c r="E33" i="6"/>
  <c r="AL33" i="6"/>
  <c r="Y34" i="6"/>
  <c r="AB34" i="6" s="1"/>
  <c r="E35" i="6"/>
  <c r="S36" i="6"/>
  <c r="T40" i="6"/>
  <c r="Y40" i="6"/>
  <c r="S43" i="6"/>
  <c r="H44" i="6"/>
  <c r="H50" i="6"/>
  <c r="F54" i="6"/>
  <c r="M56" i="6"/>
  <c r="G57" i="6"/>
  <c r="P57" i="6" s="1"/>
  <c r="W29" i="6"/>
  <c r="K29" i="6"/>
  <c r="AM65" i="6"/>
  <c r="G64" i="6"/>
  <c r="H64" i="6" s="1"/>
  <c r="X65" i="6"/>
  <c r="L65" i="6"/>
  <c r="E65" i="6"/>
  <c r="W21" i="6"/>
  <c r="K21" i="6"/>
  <c r="X24" i="6"/>
  <c r="T24" i="6" s="1"/>
  <c r="L24" i="6"/>
  <c r="AL30" i="6"/>
  <c r="AN30" i="6" s="1"/>
  <c r="E30" i="6"/>
  <c r="F29" i="6"/>
  <c r="H29" i="6" s="1"/>
  <c r="AM33" i="6"/>
  <c r="G32" i="6"/>
  <c r="Y51" i="6"/>
  <c r="Y71" i="6"/>
  <c r="S71" i="6"/>
  <c r="U71" i="6" s="1"/>
  <c r="H79" i="6"/>
  <c r="S79" i="6"/>
  <c r="U79" i="6" s="1"/>
  <c r="S3" i="6"/>
  <c r="U3" i="6" s="1"/>
  <c r="S7" i="6"/>
  <c r="U7" i="6" s="1"/>
  <c r="S37" i="6"/>
  <c r="S45" i="6"/>
  <c r="G4" i="6"/>
  <c r="L4" i="6"/>
  <c r="F5" i="6"/>
  <c r="K5" i="6"/>
  <c r="E6" i="6"/>
  <c r="G8" i="6"/>
  <c r="H8" i="6" s="1"/>
  <c r="L8" i="6"/>
  <c r="M8" i="6" s="1"/>
  <c r="F9" i="6"/>
  <c r="H9" i="6" s="1"/>
  <c r="K9" i="6"/>
  <c r="E10" i="6"/>
  <c r="G12" i="6"/>
  <c r="T12" i="6" s="1"/>
  <c r="L12" i="6"/>
  <c r="F13" i="6"/>
  <c r="H13" i="6" s="1"/>
  <c r="K13" i="6"/>
  <c r="E14" i="6"/>
  <c r="G16" i="6"/>
  <c r="T16" i="6" s="1"/>
  <c r="L16" i="6"/>
  <c r="P16" i="6" s="1"/>
  <c r="F17" i="6"/>
  <c r="H17" i="6" s="1"/>
  <c r="K17" i="6"/>
  <c r="G18" i="6"/>
  <c r="T18" i="6" s="1"/>
  <c r="E20" i="6"/>
  <c r="F22" i="6"/>
  <c r="L22" i="6"/>
  <c r="W22" i="6"/>
  <c r="S23" i="6"/>
  <c r="U23" i="6" s="1"/>
  <c r="G25" i="6"/>
  <c r="X25" i="6"/>
  <c r="K26" i="6"/>
  <c r="F27" i="6"/>
  <c r="S27" i="6" s="1"/>
  <c r="U27" i="6" s="1"/>
  <c r="S28" i="6"/>
  <c r="U28" i="6" s="1"/>
  <c r="E29" i="6"/>
  <c r="L29" i="6"/>
  <c r="P29" i="6" s="1"/>
  <c r="AL29" i="6"/>
  <c r="E31" i="6"/>
  <c r="K31" i="6"/>
  <c r="F32" i="6"/>
  <c r="AM32" i="6"/>
  <c r="G34" i="6"/>
  <c r="H34" i="6" s="1"/>
  <c r="K35" i="6"/>
  <c r="AB35" i="6" s="1"/>
  <c r="S35" i="6"/>
  <c r="U35" i="6" s="1"/>
  <c r="Y37" i="6"/>
  <c r="O43" i="6"/>
  <c r="Y45" i="6"/>
  <c r="AB45" i="6" s="1"/>
  <c r="O48" i="6"/>
  <c r="G55" i="6"/>
  <c r="P55" i="6" s="1"/>
  <c r="T55" i="6"/>
  <c r="O79" i="6"/>
  <c r="Q79" i="6" s="1"/>
  <c r="AL50" i="6"/>
  <c r="E50" i="6"/>
  <c r="F49" i="6"/>
  <c r="AM53" i="6"/>
  <c r="G52" i="6"/>
  <c r="W57" i="6"/>
  <c r="K57" i="6"/>
  <c r="X60" i="6"/>
  <c r="L60" i="6"/>
  <c r="AL62" i="6"/>
  <c r="E62" i="6"/>
  <c r="F61" i="6"/>
  <c r="H61" i="6" s="1"/>
  <c r="W62" i="6"/>
  <c r="K62" i="6"/>
  <c r="AM77" i="6"/>
  <c r="G76" i="6"/>
  <c r="T76" i="6" s="1"/>
  <c r="X77" i="6"/>
  <c r="L77" i="6"/>
  <c r="E77" i="6"/>
  <c r="AL78" i="6"/>
  <c r="E78" i="6"/>
  <c r="F77" i="6"/>
  <c r="W78" i="6"/>
  <c r="K78" i="6"/>
  <c r="F78" i="6"/>
  <c r="H78" i="6" s="1"/>
  <c r="S83" i="6"/>
  <c r="S117" i="6"/>
  <c r="S40" i="6"/>
  <c r="AM40" i="6"/>
  <c r="O44" i="6"/>
  <c r="S44" i="6"/>
  <c r="AM44" i="6"/>
  <c r="AL45" i="6"/>
  <c r="E49" i="6"/>
  <c r="E51" i="6"/>
  <c r="K51" i="6"/>
  <c r="AL51" i="6"/>
  <c r="G54" i="6"/>
  <c r="T54" i="6" s="1"/>
  <c r="AB67" i="6"/>
  <c r="O75" i="6"/>
  <c r="P82" i="6"/>
  <c r="W49" i="6"/>
  <c r="K49" i="6"/>
  <c r="X52" i="6"/>
  <c r="T52" i="6" s="1"/>
  <c r="L52" i="6"/>
  <c r="M52" i="6" s="1"/>
  <c r="AL58" i="6"/>
  <c r="E58" i="6"/>
  <c r="F57" i="6"/>
  <c r="AM61" i="6"/>
  <c r="G60" i="6"/>
  <c r="H60" i="6" s="1"/>
  <c r="X61" i="6"/>
  <c r="T61" i="6" s="1"/>
  <c r="AM69" i="6"/>
  <c r="G68" i="6"/>
  <c r="H68" i="6" s="1"/>
  <c r="X69" i="6"/>
  <c r="L69" i="6"/>
  <c r="P69" i="6" s="1"/>
  <c r="E69" i="6"/>
  <c r="AL70" i="6"/>
  <c r="E70" i="6"/>
  <c r="F69" i="6"/>
  <c r="H69" i="6" s="1"/>
  <c r="W70" i="6"/>
  <c r="K70" i="6"/>
  <c r="AM81" i="6"/>
  <c r="G80" i="6"/>
  <c r="T80" i="6" s="1"/>
  <c r="X81" i="6"/>
  <c r="L81" i="6"/>
  <c r="G81" i="6"/>
  <c r="E81" i="6"/>
  <c r="W87" i="6"/>
  <c r="K87" i="6"/>
  <c r="F86" i="6"/>
  <c r="E87" i="6"/>
  <c r="AL96" i="6"/>
  <c r="E96" i="6"/>
  <c r="F95" i="6"/>
  <c r="K96" i="6"/>
  <c r="W96" i="6"/>
  <c r="F96" i="6"/>
  <c r="H96" i="6" s="1"/>
  <c r="AM99" i="6"/>
  <c r="G98" i="6"/>
  <c r="L99" i="6"/>
  <c r="P99" i="6" s="1"/>
  <c r="X99" i="6"/>
  <c r="G99" i="6"/>
  <c r="G37" i="6"/>
  <c r="F38" i="6"/>
  <c r="H38" i="6" s="1"/>
  <c r="E39" i="6"/>
  <c r="G41" i="6"/>
  <c r="E43" i="6"/>
  <c r="W50" i="6"/>
  <c r="G53" i="6"/>
  <c r="X53" i="6"/>
  <c r="E57" i="6"/>
  <c r="AL57" i="6"/>
  <c r="E59" i="6"/>
  <c r="K59" i="6"/>
  <c r="AM60" i="6"/>
  <c r="O64" i="6"/>
  <c r="Y64" i="6"/>
  <c r="S65" i="6"/>
  <c r="Y80" i="6"/>
  <c r="AB80" i="6" s="1"/>
  <c r="AL87" i="6"/>
  <c r="X48" i="6"/>
  <c r="T48" i="6" s="1"/>
  <c r="L48" i="6"/>
  <c r="AL54" i="6"/>
  <c r="E54" i="6"/>
  <c r="F53" i="6"/>
  <c r="AM57" i="6"/>
  <c r="G56" i="6"/>
  <c r="W61" i="6"/>
  <c r="K61" i="6"/>
  <c r="AM73" i="6"/>
  <c r="G72" i="6"/>
  <c r="X73" i="6"/>
  <c r="L73" i="6"/>
  <c r="E73" i="6"/>
  <c r="AL74" i="6"/>
  <c r="E74" i="6"/>
  <c r="F73" i="6"/>
  <c r="W74" i="6"/>
  <c r="K74" i="6"/>
  <c r="X83" i="6"/>
  <c r="G83" i="6"/>
  <c r="H83" i="6" s="1"/>
  <c r="AM83" i="6"/>
  <c r="L83" i="6"/>
  <c r="Y84" i="6"/>
  <c r="S84" i="6"/>
  <c r="E89" i="6"/>
  <c r="F89" i="6"/>
  <c r="H89" i="6" s="1"/>
  <c r="K89" i="6"/>
  <c r="X90" i="6"/>
  <c r="L90" i="6"/>
  <c r="E90" i="6"/>
  <c r="AM90" i="6"/>
  <c r="M109" i="6"/>
  <c r="O109" i="6"/>
  <c r="AL112" i="6"/>
  <c r="E112" i="6"/>
  <c r="F111" i="6"/>
  <c r="S111" i="6" s="1"/>
  <c r="U111" i="6" s="1"/>
  <c r="W112" i="6"/>
  <c r="K112" i="6"/>
  <c r="F112" i="6"/>
  <c r="H112" i="6" s="1"/>
  <c r="L36" i="6"/>
  <c r="P36" i="6" s="1"/>
  <c r="K37" i="6"/>
  <c r="L40" i="6"/>
  <c r="P40" i="6" s="1"/>
  <c r="K41" i="6"/>
  <c r="L44" i="6"/>
  <c r="P44" i="6" s="1"/>
  <c r="K45" i="6"/>
  <c r="S47" i="6"/>
  <c r="K50" i="6"/>
  <c r="F51" i="6"/>
  <c r="H51" i="6" s="1"/>
  <c r="L53" i="6"/>
  <c r="P53" i="6" s="1"/>
  <c r="F56" i="6"/>
  <c r="E60" i="6"/>
  <c r="Y68" i="6"/>
  <c r="S75" i="6"/>
  <c r="U75" i="6" s="1"/>
  <c r="AN79" i="6"/>
  <c r="AB79" i="6"/>
  <c r="AO79" i="6" s="1"/>
  <c r="AS79" i="6" s="1"/>
  <c r="AL89" i="6"/>
  <c r="AN109" i="6"/>
  <c r="W82" i="6"/>
  <c r="K82" i="6"/>
  <c r="X85" i="6"/>
  <c r="L85" i="6"/>
  <c r="AM92" i="6"/>
  <c r="L92" i="6"/>
  <c r="X92" i="6"/>
  <c r="G92" i="6"/>
  <c r="Y122" i="6"/>
  <c r="O68" i="6"/>
  <c r="S68" i="6"/>
  <c r="O72" i="6"/>
  <c r="S72" i="6"/>
  <c r="S76" i="6"/>
  <c r="O80" i="6"/>
  <c r="S80" i="6"/>
  <c r="AM80" i="6"/>
  <c r="AL81" i="6"/>
  <c r="S88" i="6"/>
  <c r="T89" i="6"/>
  <c r="H98" i="6"/>
  <c r="T100" i="6"/>
  <c r="U100" i="6" s="1"/>
  <c r="Y107" i="6"/>
  <c r="AL83" i="6"/>
  <c r="E83" i="6"/>
  <c r="F82" i="6"/>
  <c r="H82" i="6" s="1"/>
  <c r="X86" i="6"/>
  <c r="L86" i="6"/>
  <c r="AM86" i="6"/>
  <c r="G85" i="6"/>
  <c r="H85" i="6" s="1"/>
  <c r="X88" i="6"/>
  <c r="Y88" i="6" s="1"/>
  <c r="G88" i="6"/>
  <c r="H88" i="6" s="1"/>
  <c r="Y93" i="6"/>
  <c r="M102" i="6"/>
  <c r="W103" i="6"/>
  <c r="K103" i="6"/>
  <c r="F102" i="6"/>
  <c r="AL103" i="6"/>
  <c r="E103" i="6"/>
  <c r="G65" i="6"/>
  <c r="F66" i="6"/>
  <c r="E67" i="6"/>
  <c r="G69" i="6"/>
  <c r="F70" i="6"/>
  <c r="H70" i="6" s="1"/>
  <c r="E71" i="6"/>
  <c r="G73" i="6"/>
  <c r="F74" i="6"/>
  <c r="H74" i="6" s="1"/>
  <c r="E75" i="6"/>
  <c r="G77" i="6"/>
  <c r="E79" i="6"/>
  <c r="E82" i="6"/>
  <c r="AL82" i="6"/>
  <c r="E84" i="6"/>
  <c r="K84" i="6"/>
  <c r="AM85" i="6"/>
  <c r="M86" i="6"/>
  <c r="L88" i="6"/>
  <c r="O93" i="6"/>
  <c r="Q93" i="6" s="1"/>
  <c r="H100" i="6"/>
  <c r="O113" i="6"/>
  <c r="Q113" i="6" s="1"/>
  <c r="AL88" i="6"/>
  <c r="E88" i="6"/>
  <c r="F87" i="6"/>
  <c r="H87" i="6" s="1"/>
  <c r="M92" i="6"/>
  <c r="Y97" i="6"/>
  <c r="AB97" i="6" s="1"/>
  <c r="M97" i="6"/>
  <c r="AM107" i="6"/>
  <c r="G106" i="6"/>
  <c r="H106" i="6" s="1"/>
  <c r="X107" i="6"/>
  <c r="L107" i="6"/>
  <c r="G107" i="6"/>
  <c r="E107" i="6"/>
  <c r="Y109" i="6"/>
  <c r="AB109" i="6" s="1"/>
  <c r="S109" i="6"/>
  <c r="U109" i="6" s="1"/>
  <c r="M117" i="6"/>
  <c r="O117" i="6"/>
  <c r="L64" i="6"/>
  <c r="M64" i="6" s="1"/>
  <c r="K65" i="6"/>
  <c r="L68" i="6"/>
  <c r="K69" i="6"/>
  <c r="L72" i="6"/>
  <c r="M72" i="6" s="1"/>
  <c r="K73" i="6"/>
  <c r="L76" i="6"/>
  <c r="K77" i="6"/>
  <c r="L80" i="6"/>
  <c r="M80" i="6" s="1"/>
  <c r="F81" i="6"/>
  <c r="H81" i="6" s="1"/>
  <c r="K81" i="6"/>
  <c r="E85" i="6"/>
  <c r="AL86" i="6"/>
  <c r="K88" i="6"/>
  <c r="AM88" i="6"/>
  <c r="G91" i="6"/>
  <c r="P91" i="6" s="1"/>
  <c r="O98" i="6"/>
  <c r="AM91" i="6"/>
  <c r="G90" i="6"/>
  <c r="H90" i="6" s="1"/>
  <c r="W95" i="6"/>
  <c r="K95" i="6"/>
  <c r="X98" i="6"/>
  <c r="T98" i="6" s="1"/>
  <c r="L98" i="6"/>
  <c r="AL104" i="6"/>
  <c r="E104" i="6"/>
  <c r="F103" i="6"/>
  <c r="H103" i="6" s="1"/>
  <c r="W104" i="6"/>
  <c r="AL116" i="6"/>
  <c r="E116" i="6"/>
  <c r="F115" i="6"/>
  <c r="S115" i="6" s="1"/>
  <c r="W116" i="6"/>
  <c r="K116" i="6"/>
  <c r="F116" i="6"/>
  <c r="H116" i="6" s="1"/>
  <c r="Y118" i="6"/>
  <c r="AM128" i="6"/>
  <c r="G127" i="6"/>
  <c r="H127" i="6" s="1"/>
  <c r="X128" i="6"/>
  <c r="L128" i="6"/>
  <c r="E128" i="6"/>
  <c r="AL129" i="6"/>
  <c r="E129" i="6"/>
  <c r="F128" i="6"/>
  <c r="W129" i="6"/>
  <c r="K129" i="6"/>
  <c r="F101" i="6"/>
  <c r="H101" i="6" s="1"/>
  <c r="W101" i="6"/>
  <c r="X104" i="6"/>
  <c r="AB113" i="6"/>
  <c r="P121" i="6"/>
  <c r="T121" i="6"/>
  <c r="T126" i="6"/>
  <c r="AM87" i="6"/>
  <c r="G86" i="6"/>
  <c r="W91" i="6"/>
  <c r="K91" i="6"/>
  <c r="X94" i="6"/>
  <c r="L94" i="6"/>
  <c r="AL100" i="6"/>
  <c r="E100" i="6"/>
  <c r="F99" i="6"/>
  <c r="H99" i="6" s="1"/>
  <c r="AM103" i="6"/>
  <c r="G102" i="6"/>
  <c r="AM111" i="6"/>
  <c r="G110" i="6"/>
  <c r="H110" i="6" s="1"/>
  <c r="X111" i="6"/>
  <c r="T111" i="6" s="1"/>
  <c r="L111" i="6"/>
  <c r="P111" i="6" s="1"/>
  <c r="G111" i="6"/>
  <c r="AM119" i="6"/>
  <c r="G118" i="6"/>
  <c r="T118" i="6" s="1"/>
  <c r="X119" i="6"/>
  <c r="T119" i="6" s="1"/>
  <c r="L119" i="6"/>
  <c r="AM120" i="6"/>
  <c r="X120" i="6"/>
  <c r="G120" i="6"/>
  <c r="G119" i="6"/>
  <c r="L120" i="6"/>
  <c r="W124" i="6"/>
  <c r="K124" i="6"/>
  <c r="AL124" i="6"/>
  <c r="E124" i="6"/>
  <c r="F123" i="6"/>
  <c r="O123" i="6" s="1"/>
  <c r="Y127" i="6"/>
  <c r="S127" i="6"/>
  <c r="Y134" i="6"/>
  <c r="AB134" i="6" s="1"/>
  <c r="S134" i="6"/>
  <c r="U134" i="6" s="1"/>
  <c r="F92" i="6"/>
  <c r="O94" i="6"/>
  <c r="G95" i="6"/>
  <c r="T95" i="6" s="1"/>
  <c r="F97" i="6"/>
  <c r="H97" i="6" s="1"/>
  <c r="E99" i="6"/>
  <c r="E101" i="6"/>
  <c r="K101" i="6"/>
  <c r="G104" i="6"/>
  <c r="P104" i="6" s="1"/>
  <c r="AO109" i="6"/>
  <c r="AS109" i="6" s="1"/>
  <c r="T110" i="6"/>
  <c r="Y110" i="6"/>
  <c r="S113" i="6"/>
  <c r="U113" i="6" s="1"/>
  <c r="Y128" i="6"/>
  <c r="AL92" i="6"/>
  <c r="E92" i="6"/>
  <c r="F91" i="6"/>
  <c r="H91" i="6" s="1"/>
  <c r="AM95" i="6"/>
  <c r="G94" i="6"/>
  <c r="H94" i="6" s="1"/>
  <c r="W99" i="6"/>
  <c r="K99" i="6"/>
  <c r="X102" i="6"/>
  <c r="L102" i="6"/>
  <c r="AL105" i="6"/>
  <c r="E105" i="6"/>
  <c r="AL108" i="6"/>
  <c r="E108" i="6"/>
  <c r="F107" i="6"/>
  <c r="S107" i="6" s="1"/>
  <c r="W108" i="6"/>
  <c r="K108" i="6"/>
  <c r="F108" i="6"/>
  <c r="H108" i="6" s="1"/>
  <c r="T114" i="6"/>
  <c r="Y114" i="6"/>
  <c r="AM115" i="6"/>
  <c r="G114" i="6"/>
  <c r="H114" i="6" s="1"/>
  <c r="X115" i="6"/>
  <c r="L115" i="6"/>
  <c r="G115" i="6"/>
  <c r="M134" i="6"/>
  <c r="O134" i="6"/>
  <c r="Q134" i="6" s="1"/>
  <c r="AL137" i="6"/>
  <c r="E137" i="6"/>
  <c r="F136" i="6"/>
  <c r="W137" i="6"/>
  <c r="K137" i="6"/>
  <c r="F137" i="6"/>
  <c r="H137" i="6" s="1"/>
  <c r="O142" i="6"/>
  <c r="L100" i="6"/>
  <c r="AB100" i="6" s="1"/>
  <c r="K104" i="6"/>
  <c r="K105" i="6"/>
  <c r="W105" i="6"/>
  <c r="AL121" i="6"/>
  <c r="E121" i="6"/>
  <c r="F120" i="6"/>
  <c r="AM124" i="6"/>
  <c r="G123" i="6"/>
  <c r="AL126" i="6"/>
  <c r="E126" i="6"/>
  <c r="Y135" i="6"/>
  <c r="AM136" i="6"/>
  <c r="G135" i="6"/>
  <c r="T135" i="6" s="1"/>
  <c r="X136" i="6"/>
  <c r="T136" i="6" s="1"/>
  <c r="L136" i="6"/>
  <c r="P136" i="6" s="1"/>
  <c r="G136" i="6"/>
  <c r="Y139" i="6"/>
  <c r="O106" i="6"/>
  <c r="S106" i="6"/>
  <c r="AM106" i="6"/>
  <c r="AL107" i="6"/>
  <c r="O110" i="6"/>
  <c r="S110" i="6"/>
  <c r="AM110" i="6"/>
  <c r="E111" i="6"/>
  <c r="AL111" i="6"/>
  <c r="AM114" i="6"/>
  <c r="E115" i="6"/>
  <c r="AL115" i="6"/>
  <c r="G117" i="6"/>
  <c r="F118" i="6"/>
  <c r="O118" i="6" s="1"/>
  <c r="AM118" i="6"/>
  <c r="E119" i="6"/>
  <c r="AL119" i="6"/>
  <c r="E120" i="6"/>
  <c r="E122" i="6"/>
  <c r="K122" i="6"/>
  <c r="AL122" i="6"/>
  <c r="G125" i="6"/>
  <c r="H125" i="6" s="1"/>
  <c r="M125" i="6"/>
  <c r="K126" i="6"/>
  <c r="Y138" i="6"/>
  <c r="W120" i="6"/>
  <c r="K120" i="6"/>
  <c r="X123" i="6"/>
  <c r="L123" i="6"/>
  <c r="M123" i="6" s="1"/>
  <c r="AM132" i="6"/>
  <c r="G131" i="6"/>
  <c r="H131" i="6" s="1"/>
  <c r="X132" i="6"/>
  <c r="L132" i="6"/>
  <c r="E132" i="6"/>
  <c r="AL133" i="6"/>
  <c r="E133" i="6"/>
  <c r="F132" i="6"/>
  <c r="S132" i="6" s="1"/>
  <c r="W133" i="6"/>
  <c r="K133" i="6"/>
  <c r="F133" i="6"/>
  <c r="H133" i="6" s="1"/>
  <c r="AM140" i="6"/>
  <c r="G139" i="6"/>
  <c r="X140" i="6"/>
  <c r="L140" i="6"/>
  <c r="G140" i="6"/>
  <c r="E109" i="6"/>
  <c r="H126" i="6"/>
  <c r="S128" i="6"/>
  <c r="O130" i="6"/>
  <c r="Q130" i="6" s="1"/>
  <c r="H135" i="6"/>
  <c r="AL125" i="6"/>
  <c r="E125" i="6"/>
  <c r="F124" i="6"/>
  <c r="H124" i="6" s="1"/>
  <c r="W125" i="6"/>
  <c r="AL141" i="6"/>
  <c r="E141" i="6"/>
  <c r="F140" i="6"/>
  <c r="H140" i="6" s="1"/>
  <c r="W141" i="6"/>
  <c r="K141" i="6"/>
  <c r="F141" i="6"/>
  <c r="H141" i="6" s="1"/>
  <c r="L106" i="6"/>
  <c r="P106" i="6" s="1"/>
  <c r="K107" i="6"/>
  <c r="L110" i="6"/>
  <c r="P110" i="6" s="1"/>
  <c r="K111" i="6"/>
  <c r="L114" i="6"/>
  <c r="K115" i="6"/>
  <c r="L118" i="6"/>
  <c r="F119" i="6"/>
  <c r="H119" i="6" s="1"/>
  <c r="K119" i="6"/>
  <c r="K121" i="6"/>
  <c r="F122" i="6"/>
  <c r="H122" i="6" s="1"/>
  <c r="L124" i="6"/>
  <c r="P124" i="6" s="1"/>
  <c r="Y131" i="6"/>
  <c r="T139" i="6"/>
  <c r="S142" i="6"/>
  <c r="S131" i="6"/>
  <c r="O135" i="6"/>
  <c r="S135" i="6"/>
  <c r="AM135" i="6"/>
  <c r="E136" i="6"/>
  <c r="AL136" i="6"/>
  <c r="G138" i="6"/>
  <c r="H138" i="6" s="1"/>
  <c r="L138" i="6"/>
  <c r="F139" i="6"/>
  <c r="H139" i="6" s="1"/>
  <c r="K139" i="6"/>
  <c r="AM139" i="6"/>
  <c r="E140" i="6"/>
  <c r="AL140" i="6"/>
  <c r="G142" i="6"/>
  <c r="T142" i="6" s="1"/>
  <c r="L142" i="6"/>
  <c r="M142" i="6" s="1"/>
  <c r="X143" i="6"/>
  <c r="Y143" i="6" s="1"/>
  <c r="AB143" i="6" s="1"/>
  <c r="G128" i="6"/>
  <c r="F129" i="6"/>
  <c r="H129" i="6" s="1"/>
  <c r="E130" i="6"/>
  <c r="G132" i="6"/>
  <c r="E134" i="6"/>
  <c r="AL143" i="6"/>
  <c r="L127" i="6"/>
  <c r="K128" i="6"/>
  <c r="L131" i="6"/>
  <c r="K132" i="6"/>
  <c r="L135" i="6"/>
  <c r="K136" i="6"/>
  <c r="L139" i="6"/>
  <c r="P139" i="6" s="1"/>
  <c r="K140" i="6"/>
  <c r="AA53" i="7" l="1"/>
  <c r="AA55" i="7" s="1"/>
  <c r="AA17" i="7"/>
  <c r="F44" i="7"/>
  <c r="G44" i="7" s="1"/>
  <c r="R28" i="7" s="1"/>
  <c r="T28" i="7" s="1"/>
  <c r="F37" i="7"/>
  <c r="G37" i="7" s="1"/>
  <c r="AA61" i="7"/>
  <c r="AA60" i="7"/>
  <c r="AA62" i="7" s="1"/>
  <c r="F23" i="7"/>
  <c r="K23" i="7" s="1"/>
  <c r="F32" i="7" s="1"/>
  <c r="G32" i="7" s="1"/>
  <c r="AA34" i="7"/>
  <c r="AA33" i="7"/>
  <c r="AA35" i="7" s="1"/>
  <c r="AA16" i="7"/>
  <c r="AA18" i="7" s="1"/>
  <c r="F22" i="7" s="1"/>
  <c r="K22" i="7" s="1"/>
  <c r="AA54" i="7"/>
  <c r="AA47" i="7"/>
  <c r="F25" i="7" s="1"/>
  <c r="K25" i="7" s="1"/>
  <c r="S30" i="7"/>
  <c r="S31" i="7" s="1"/>
  <c r="F56" i="7" s="1"/>
  <c r="AO3" i="6"/>
  <c r="AS3" i="6" s="1"/>
  <c r="AN3" i="6"/>
  <c r="AR11" i="6"/>
  <c r="AT11" i="6" s="1"/>
  <c r="AO117" i="6"/>
  <c r="AS117" i="6" s="1"/>
  <c r="AN117" i="6"/>
  <c r="AB135" i="6"/>
  <c r="AN135" i="6" s="1"/>
  <c r="O97" i="6"/>
  <c r="Q97" i="6" s="1"/>
  <c r="T26" i="6"/>
  <c r="T50" i="6"/>
  <c r="S140" i="6"/>
  <c r="T131" i="6"/>
  <c r="AB121" i="6"/>
  <c r="AB142" i="6"/>
  <c r="AO142" i="6" s="1"/>
  <c r="AS142" i="6" s="1"/>
  <c r="T117" i="6"/>
  <c r="H136" i="6"/>
  <c r="P94" i="6"/>
  <c r="H66" i="6"/>
  <c r="S93" i="6"/>
  <c r="U93" i="6" s="1"/>
  <c r="AB84" i="6"/>
  <c r="AO84" i="6" s="1"/>
  <c r="AS84" i="6" s="1"/>
  <c r="T83" i="6"/>
  <c r="O67" i="6"/>
  <c r="Q75" i="6"/>
  <c r="H49" i="6"/>
  <c r="H58" i="6"/>
  <c r="Y52" i="6"/>
  <c r="AB52" i="6" s="1"/>
  <c r="Q43" i="6"/>
  <c r="P4" i="6"/>
  <c r="O39" i="6"/>
  <c r="Q39" i="6" s="1"/>
  <c r="AB71" i="6"/>
  <c r="AO71" i="6" s="1"/>
  <c r="AS71" i="6" s="1"/>
  <c r="H26" i="6"/>
  <c r="P13" i="6"/>
  <c r="O58" i="6"/>
  <c r="T49" i="6"/>
  <c r="H12" i="6"/>
  <c r="AA3" i="6"/>
  <c r="T103" i="6"/>
  <c r="S114" i="6"/>
  <c r="U114" i="6" s="1"/>
  <c r="H75" i="6"/>
  <c r="T84" i="6"/>
  <c r="T51" i="6"/>
  <c r="O90" i="6"/>
  <c r="S60" i="6"/>
  <c r="P15" i="6"/>
  <c r="P33" i="6"/>
  <c r="AB7" i="6"/>
  <c r="AO7" i="6" s="1"/>
  <c r="AS7" i="6" s="1"/>
  <c r="S20" i="6"/>
  <c r="T78" i="6"/>
  <c r="P43" i="6"/>
  <c r="Y47" i="6"/>
  <c r="AB47" i="6" s="1"/>
  <c r="AO47" i="6" s="1"/>
  <c r="AS47" i="6" s="1"/>
  <c r="P21" i="6"/>
  <c r="AB43" i="6"/>
  <c r="U84" i="6"/>
  <c r="Y130" i="6"/>
  <c r="AB130" i="6" s="1"/>
  <c r="S130" i="6"/>
  <c r="U130" i="6" s="1"/>
  <c r="P131" i="6"/>
  <c r="Q94" i="6"/>
  <c r="S97" i="6"/>
  <c r="U97" i="6" s="1"/>
  <c r="AB93" i="6"/>
  <c r="AN93" i="6" s="1"/>
  <c r="AR93" i="6" s="1"/>
  <c r="AT93" i="6" s="1"/>
  <c r="U47" i="6"/>
  <c r="P83" i="6"/>
  <c r="T72" i="6"/>
  <c r="U83" i="6"/>
  <c r="H77" i="6"/>
  <c r="P77" i="6"/>
  <c r="H4" i="6"/>
  <c r="I143" i="6" s="1"/>
  <c r="U43" i="6"/>
  <c r="T36" i="6"/>
  <c r="Q15" i="6"/>
  <c r="AN34" i="6"/>
  <c r="AR34" i="6" s="1"/>
  <c r="AB44" i="6"/>
  <c r="Q36" i="6"/>
  <c r="O11" i="6"/>
  <c r="Q11" i="6" s="1"/>
  <c r="AB59" i="6"/>
  <c r="AO59" i="6" s="1"/>
  <c r="AS59" i="6" s="1"/>
  <c r="AB12" i="6"/>
  <c r="AD11" i="6"/>
  <c r="S9" i="6"/>
  <c r="U9" i="6" s="1"/>
  <c r="Z3" i="6"/>
  <c r="H121" i="6"/>
  <c r="S121" i="6"/>
  <c r="U121" i="6" s="1"/>
  <c r="M130" i="6"/>
  <c r="P75" i="6"/>
  <c r="P67" i="6"/>
  <c r="T33" i="6"/>
  <c r="M15" i="6"/>
  <c r="T66" i="6"/>
  <c r="S67" i="6"/>
  <c r="U67" i="6" s="1"/>
  <c r="H15" i="6"/>
  <c r="P125" i="6"/>
  <c r="Q125" i="6" s="1"/>
  <c r="U131" i="6"/>
  <c r="P123" i="6"/>
  <c r="Q123" i="6" s="1"/>
  <c r="P138" i="6"/>
  <c r="Q138" i="6" s="1"/>
  <c r="AO135" i="6"/>
  <c r="AS135" i="6" s="1"/>
  <c r="S123" i="6"/>
  <c r="T138" i="6"/>
  <c r="U138" i="6" s="1"/>
  <c r="Y126" i="6"/>
  <c r="P115" i="6"/>
  <c r="AB114" i="6"/>
  <c r="AN114" i="6" s="1"/>
  <c r="H92" i="6"/>
  <c r="M106" i="6"/>
  <c r="P76" i="6"/>
  <c r="P68" i="6"/>
  <c r="P86" i="6"/>
  <c r="P95" i="6"/>
  <c r="T92" i="6"/>
  <c r="H76" i="6"/>
  <c r="T68" i="6"/>
  <c r="U68" i="6" s="1"/>
  <c r="S52" i="6"/>
  <c r="U52" i="6" s="1"/>
  <c r="Q109" i="6"/>
  <c r="T99" i="6"/>
  <c r="U44" i="6"/>
  <c r="AB39" i="6"/>
  <c r="AN39" i="6" s="1"/>
  <c r="S11" i="6"/>
  <c r="U11" i="6" s="1"/>
  <c r="O7" i="6"/>
  <c r="Q7" i="6" s="1"/>
  <c r="AB54" i="6"/>
  <c r="AO54" i="6" s="1"/>
  <c r="AS54" i="6" s="1"/>
  <c r="P28" i="6"/>
  <c r="H20" i="6"/>
  <c r="O12" i="6"/>
  <c r="Y111" i="6"/>
  <c r="AB111" i="6" s="1"/>
  <c r="P58" i="6"/>
  <c r="Y17" i="6"/>
  <c r="AB17" i="6" s="1"/>
  <c r="H134" i="6"/>
  <c r="T105" i="6"/>
  <c r="S94" i="6"/>
  <c r="S90" i="6"/>
  <c r="Y75" i="6"/>
  <c r="AB75" i="6" s="1"/>
  <c r="M27" i="6"/>
  <c r="AO11" i="6"/>
  <c r="AS11" i="6" s="1"/>
  <c r="P7" i="6"/>
  <c r="H47" i="6"/>
  <c r="P47" i="6"/>
  <c r="Q47" i="6" s="1"/>
  <c r="H43" i="6"/>
  <c r="P26" i="6"/>
  <c r="P6" i="6"/>
  <c r="T30" i="6"/>
  <c r="U30" i="6" s="1"/>
  <c r="AB15" i="6"/>
  <c r="AO15" i="6" s="1"/>
  <c r="AS15" i="6" s="1"/>
  <c r="P14" i="6"/>
  <c r="M7" i="6"/>
  <c r="Q58" i="6"/>
  <c r="AF23" i="6"/>
  <c r="AF7" i="6"/>
  <c r="AO121" i="6"/>
  <c r="AS121" i="6" s="1"/>
  <c r="AO100" i="6"/>
  <c r="AS100" i="6" s="1"/>
  <c r="AO143" i="6"/>
  <c r="AS143" i="6" s="1"/>
  <c r="S141" i="6"/>
  <c r="U141" i="6" s="1"/>
  <c r="Y141" i="6"/>
  <c r="AB141" i="6" s="1"/>
  <c r="AD130" i="6"/>
  <c r="AE130" i="6"/>
  <c r="AR114" i="6"/>
  <c r="AE114" i="6"/>
  <c r="AD114" i="6"/>
  <c r="AD134" i="6"/>
  <c r="AE134" i="6"/>
  <c r="O129" i="6"/>
  <c r="Q129" i="6" s="1"/>
  <c r="M129" i="6"/>
  <c r="O95" i="6"/>
  <c r="Q95" i="6" s="1"/>
  <c r="M95" i="6"/>
  <c r="M88" i="6"/>
  <c r="O88" i="6"/>
  <c r="AE106" i="6"/>
  <c r="AD106" i="6"/>
  <c r="T85" i="6"/>
  <c r="U85" i="6" s="1"/>
  <c r="Y85" i="6"/>
  <c r="AB85" i="6" s="1"/>
  <c r="O112" i="6"/>
  <c r="Q112" i="6" s="1"/>
  <c r="M112" i="6"/>
  <c r="O74" i="6"/>
  <c r="Q74" i="6" s="1"/>
  <c r="M74" i="6"/>
  <c r="AD75" i="6"/>
  <c r="AE75" i="6"/>
  <c r="O49" i="6"/>
  <c r="M49" i="6"/>
  <c r="AD67" i="6"/>
  <c r="AE67" i="6"/>
  <c r="AD52" i="6"/>
  <c r="AE52" i="6"/>
  <c r="S21" i="6"/>
  <c r="U21" i="6" s="1"/>
  <c r="Y21" i="6"/>
  <c r="AB21" i="6" s="1"/>
  <c r="S10" i="6"/>
  <c r="U10" i="6" s="1"/>
  <c r="Y10" i="6"/>
  <c r="AB10" i="6" s="1"/>
  <c r="S53" i="6"/>
  <c r="Y53" i="6"/>
  <c r="AB53" i="6" s="1"/>
  <c r="M55" i="6"/>
  <c r="O55" i="6"/>
  <c r="Q55" i="6" s="1"/>
  <c r="AR27" i="6"/>
  <c r="AT27" i="6" s="1"/>
  <c r="AP27" i="6"/>
  <c r="T56" i="6"/>
  <c r="Y56" i="6"/>
  <c r="AB56" i="6" s="1"/>
  <c r="AO56" i="6" s="1"/>
  <c r="AS56" i="6" s="1"/>
  <c r="S38" i="6"/>
  <c r="U38" i="6" s="1"/>
  <c r="Y38" i="6"/>
  <c r="AB38" i="6" s="1"/>
  <c r="AE19" i="6"/>
  <c r="AD19" i="6"/>
  <c r="AF19" i="6" s="1"/>
  <c r="O136" i="6"/>
  <c r="Q136" i="6" s="1"/>
  <c r="M136" i="6"/>
  <c r="O128" i="6"/>
  <c r="M128" i="6"/>
  <c r="O119" i="6"/>
  <c r="M119" i="6"/>
  <c r="P114" i="6"/>
  <c r="Q114" i="6" s="1"/>
  <c r="M114" i="6"/>
  <c r="AR135" i="6"/>
  <c r="AT135" i="6" s="1"/>
  <c r="AP135" i="6"/>
  <c r="Y105" i="6"/>
  <c r="AB105" i="6" s="1"/>
  <c r="S105" i="6"/>
  <c r="U105" i="6" s="1"/>
  <c r="T115" i="6"/>
  <c r="Y115" i="6"/>
  <c r="AB115" i="6" s="1"/>
  <c r="S99" i="6"/>
  <c r="U99" i="6" s="1"/>
  <c r="Y99" i="6"/>
  <c r="AB99" i="6" s="1"/>
  <c r="AO99" i="6" s="1"/>
  <c r="AS99" i="6" s="1"/>
  <c r="AD113" i="6"/>
  <c r="AE113" i="6"/>
  <c r="Y101" i="6"/>
  <c r="AB101" i="6" s="1"/>
  <c r="S101" i="6"/>
  <c r="U101" i="6" s="1"/>
  <c r="S129" i="6"/>
  <c r="U129" i="6" s="1"/>
  <c r="Y129" i="6"/>
  <c r="AB129" i="6" s="1"/>
  <c r="O116" i="6"/>
  <c r="Q116" i="6" s="1"/>
  <c r="M116" i="6"/>
  <c r="S95" i="6"/>
  <c r="U95" i="6" s="1"/>
  <c r="Y95" i="6"/>
  <c r="AB95" i="6" s="1"/>
  <c r="O73" i="6"/>
  <c r="M73" i="6"/>
  <c r="O65" i="6"/>
  <c r="M65" i="6"/>
  <c r="S102" i="6"/>
  <c r="H102" i="6"/>
  <c r="O82" i="6"/>
  <c r="Q82" i="6" s="1"/>
  <c r="M82" i="6"/>
  <c r="O45" i="6"/>
  <c r="Q45" i="6" s="1"/>
  <c r="M45" i="6"/>
  <c r="O37" i="6"/>
  <c r="M37" i="6"/>
  <c r="S112" i="6"/>
  <c r="U112" i="6" s="1"/>
  <c r="Y112" i="6"/>
  <c r="AB112" i="6" s="1"/>
  <c r="P90" i="6"/>
  <c r="Q90" i="6" s="1"/>
  <c r="M90" i="6"/>
  <c r="S74" i="6"/>
  <c r="U74" i="6" s="1"/>
  <c r="Y74" i="6"/>
  <c r="AB74" i="6" s="1"/>
  <c r="AN74" i="6" s="1"/>
  <c r="P48" i="6"/>
  <c r="Q48" i="6" s="1"/>
  <c r="M48" i="6"/>
  <c r="M59" i="6"/>
  <c r="O59" i="6"/>
  <c r="Q59" i="6" s="1"/>
  <c r="S96" i="6"/>
  <c r="U96" i="6" s="1"/>
  <c r="Y96" i="6"/>
  <c r="AB96" i="6" s="1"/>
  <c r="AN96" i="6" s="1"/>
  <c r="S86" i="6"/>
  <c r="O86" i="6"/>
  <c r="Q86" i="6" s="1"/>
  <c r="H86" i="6"/>
  <c r="T69" i="6"/>
  <c r="Y69" i="6"/>
  <c r="AB69" i="6" s="1"/>
  <c r="S49" i="6"/>
  <c r="U49" i="6" s="1"/>
  <c r="Y49" i="6"/>
  <c r="AB49" i="6" s="1"/>
  <c r="S62" i="6"/>
  <c r="U62" i="6" s="1"/>
  <c r="Y62" i="6"/>
  <c r="AB62" i="6" s="1"/>
  <c r="P60" i="6"/>
  <c r="Q60" i="6" s="1"/>
  <c r="M60" i="6"/>
  <c r="M35" i="6"/>
  <c r="O35" i="6"/>
  <c r="Q35" i="6" s="1"/>
  <c r="M31" i="6"/>
  <c r="O31" i="6"/>
  <c r="Q31" i="6" s="1"/>
  <c r="M26" i="6"/>
  <c r="O26" i="6"/>
  <c r="Q26" i="6" s="1"/>
  <c r="Y22" i="6"/>
  <c r="AB22" i="6" s="1"/>
  <c r="S22" i="6"/>
  <c r="O9" i="6"/>
  <c r="Q9" i="6" s="1"/>
  <c r="M9" i="6"/>
  <c r="V3" i="6"/>
  <c r="AD71" i="6"/>
  <c r="AE71" i="6"/>
  <c r="P24" i="6"/>
  <c r="Q24" i="6" s="1"/>
  <c r="M24" i="6"/>
  <c r="S14" i="6"/>
  <c r="U14" i="6" s="1"/>
  <c r="Y14" i="6"/>
  <c r="AB14" i="6" s="1"/>
  <c r="O10" i="6"/>
  <c r="Q10" i="6" s="1"/>
  <c r="M10" i="6"/>
  <c r="R3" i="6"/>
  <c r="S42" i="6"/>
  <c r="U42" i="6" s="1"/>
  <c r="Y42" i="6"/>
  <c r="AB42" i="6" s="1"/>
  <c r="S46" i="6"/>
  <c r="U46" i="6" s="1"/>
  <c r="Y46" i="6"/>
  <c r="AB46" i="6" s="1"/>
  <c r="O22" i="6"/>
  <c r="M22" i="6"/>
  <c r="O33" i="6"/>
  <c r="Q33" i="6" s="1"/>
  <c r="M33" i="6"/>
  <c r="T20" i="6"/>
  <c r="Y20" i="6"/>
  <c r="AB20" i="6" s="1"/>
  <c r="S66" i="6"/>
  <c r="U66" i="6" s="1"/>
  <c r="Y66" i="6"/>
  <c r="AB66" i="6" s="1"/>
  <c r="AE27" i="6"/>
  <c r="AD27" i="6"/>
  <c r="AN100" i="6"/>
  <c r="AB122" i="6"/>
  <c r="M68" i="6"/>
  <c r="AN112" i="6"/>
  <c r="Q40" i="6"/>
  <c r="AN62" i="6"/>
  <c r="AN46" i="6"/>
  <c r="AN66" i="6"/>
  <c r="M18" i="6"/>
  <c r="M4" i="6"/>
  <c r="U18" i="6"/>
  <c r="Q131" i="6"/>
  <c r="AO130" i="6"/>
  <c r="AS130" i="6" s="1"/>
  <c r="AO140" i="6"/>
  <c r="AS140" i="6" s="1"/>
  <c r="H132" i="6"/>
  <c r="P132" i="6"/>
  <c r="AN130" i="6"/>
  <c r="AO118" i="6"/>
  <c r="AS118" i="6" s="1"/>
  <c r="AO106" i="6"/>
  <c r="AS106" i="6" s="1"/>
  <c r="AB139" i="6"/>
  <c r="H120" i="6"/>
  <c r="H107" i="6"/>
  <c r="AN105" i="6"/>
  <c r="AB110" i="6"/>
  <c r="AO97" i="6"/>
  <c r="AS97" i="6" s="1"/>
  <c r="T120" i="6"/>
  <c r="H104" i="6"/>
  <c r="AN97" i="6"/>
  <c r="P107" i="6"/>
  <c r="T106" i="6"/>
  <c r="AO85" i="6"/>
  <c r="AS85" i="6" s="1"/>
  <c r="Y119" i="6"/>
  <c r="AB119" i="6" s="1"/>
  <c r="O102" i="6"/>
  <c r="T88" i="6"/>
  <c r="U88" i="6" s="1"/>
  <c r="T86" i="6"/>
  <c r="U76" i="6"/>
  <c r="U98" i="6"/>
  <c r="P92" i="6"/>
  <c r="Y86" i="6"/>
  <c r="AB86" i="6" s="1"/>
  <c r="S81" i="6"/>
  <c r="S69" i="6"/>
  <c r="AN75" i="6"/>
  <c r="AB64" i="6"/>
  <c r="AN67" i="6"/>
  <c r="T64" i="6"/>
  <c r="U64" i="6" s="1"/>
  <c r="Q44" i="6"/>
  <c r="U117" i="6"/>
  <c r="T77" i="6"/>
  <c r="AO39" i="6"/>
  <c r="AS39" i="6" s="1"/>
  <c r="AO20" i="6"/>
  <c r="AS20" i="6" s="1"/>
  <c r="AO35" i="6"/>
  <c r="AS35" i="6" s="1"/>
  <c r="Q83" i="6"/>
  <c r="H55" i="6"/>
  <c r="AN55" i="6"/>
  <c r="P32" i="6"/>
  <c r="P54" i="6"/>
  <c r="M44" i="6"/>
  <c r="P25" i="6"/>
  <c r="H18" i="6"/>
  <c r="U16" i="6"/>
  <c r="AO12" i="6"/>
  <c r="AS12" i="6" s="1"/>
  <c r="Q4" i="6"/>
  <c r="AN71" i="6"/>
  <c r="AO19" i="6"/>
  <c r="AS19" i="6" s="1"/>
  <c r="U48" i="6"/>
  <c r="H37" i="6"/>
  <c r="P37" i="6"/>
  <c r="H25" i="6"/>
  <c r="O63" i="6"/>
  <c r="Q63" i="6" s="1"/>
  <c r="AN22" i="6"/>
  <c r="Y28" i="6"/>
  <c r="AB28" i="6" s="1"/>
  <c r="AN19" i="6"/>
  <c r="AF11" i="6"/>
  <c r="Y13" i="6"/>
  <c r="AB13" i="6" s="1"/>
  <c r="H16" i="6"/>
  <c r="T34" i="6"/>
  <c r="U34" i="6" s="1"/>
  <c r="T4" i="6"/>
  <c r="U4" i="6" s="1"/>
  <c r="S17" i="6"/>
  <c r="U17" i="6" s="1"/>
  <c r="AB16" i="6"/>
  <c r="O115" i="6"/>
  <c r="Q115" i="6" s="1"/>
  <c r="M115" i="6"/>
  <c r="Y125" i="6"/>
  <c r="AB125" i="6" s="1"/>
  <c r="S125" i="6"/>
  <c r="U125" i="6" s="1"/>
  <c r="M122" i="6"/>
  <c r="O122" i="6"/>
  <c r="Q122" i="6" s="1"/>
  <c r="P100" i="6"/>
  <c r="Q100" i="6" s="1"/>
  <c r="M100" i="6"/>
  <c r="S108" i="6"/>
  <c r="U108" i="6" s="1"/>
  <c r="Y108" i="6"/>
  <c r="AB108" i="6" s="1"/>
  <c r="S91" i="6"/>
  <c r="Y91" i="6"/>
  <c r="AB91" i="6" s="1"/>
  <c r="O81" i="6"/>
  <c r="M81" i="6"/>
  <c r="AE45" i="6"/>
  <c r="AD45" i="6"/>
  <c r="AP39" i="6"/>
  <c r="AR39" i="6"/>
  <c r="O32" i="6"/>
  <c r="Q32" i="6" s="1"/>
  <c r="S32" i="6"/>
  <c r="H32" i="6"/>
  <c r="O13" i="6"/>
  <c r="Q13" i="6" s="1"/>
  <c r="M13" i="6"/>
  <c r="AP30" i="6"/>
  <c r="AR30" i="6"/>
  <c r="AT30" i="6" s="1"/>
  <c r="O46" i="6"/>
  <c r="Q46" i="6" s="1"/>
  <c r="M46" i="6"/>
  <c r="AE44" i="6"/>
  <c r="AD44" i="6"/>
  <c r="P20" i="6"/>
  <c r="Q20" i="6" s="1"/>
  <c r="M20" i="6"/>
  <c r="AD12" i="6"/>
  <c r="AE12" i="6"/>
  <c r="O140" i="6"/>
  <c r="M140" i="6"/>
  <c r="O132" i="6"/>
  <c r="Q132" i="6" s="1"/>
  <c r="M132" i="6"/>
  <c r="M139" i="6"/>
  <c r="O139" i="6"/>
  <c r="Q139" i="6" s="1"/>
  <c r="P118" i="6"/>
  <c r="Q118" i="6" s="1"/>
  <c r="M118" i="6"/>
  <c r="O141" i="6"/>
  <c r="Q141" i="6" s="1"/>
  <c r="M141" i="6"/>
  <c r="AD142" i="6"/>
  <c r="AE142" i="6"/>
  <c r="T140" i="6"/>
  <c r="Y140" i="6"/>
  <c r="AB140" i="6" s="1"/>
  <c r="O133" i="6"/>
  <c r="Q133" i="6" s="1"/>
  <c r="M133" i="6"/>
  <c r="O120" i="6"/>
  <c r="M120" i="6"/>
  <c r="AE135" i="6"/>
  <c r="AD135" i="6"/>
  <c r="O104" i="6"/>
  <c r="Q104" i="6" s="1"/>
  <c r="M104" i="6"/>
  <c r="S137" i="6"/>
  <c r="U137" i="6" s="1"/>
  <c r="Y137" i="6"/>
  <c r="AB137" i="6" s="1"/>
  <c r="O108" i="6"/>
  <c r="Q108" i="6" s="1"/>
  <c r="M108" i="6"/>
  <c r="T102" i="6"/>
  <c r="Y102" i="6"/>
  <c r="AB102" i="6" s="1"/>
  <c r="S124" i="6"/>
  <c r="U124" i="6" s="1"/>
  <c r="Y124" i="6"/>
  <c r="AB124" i="6" s="1"/>
  <c r="O91" i="6"/>
  <c r="Q91" i="6" s="1"/>
  <c r="M91" i="6"/>
  <c r="O77" i="6"/>
  <c r="Q77" i="6" s="1"/>
  <c r="M77" i="6"/>
  <c r="O69" i="6"/>
  <c r="Q69" i="6" s="1"/>
  <c r="M69" i="6"/>
  <c r="S103" i="6"/>
  <c r="U103" i="6" s="1"/>
  <c r="Y103" i="6"/>
  <c r="AB103" i="6" s="1"/>
  <c r="AD93" i="6"/>
  <c r="AE93" i="6"/>
  <c r="P85" i="6"/>
  <c r="Q85" i="6" s="1"/>
  <c r="M85" i="6"/>
  <c r="AP109" i="6"/>
  <c r="AR109" i="6"/>
  <c r="AT109" i="6" s="1"/>
  <c r="AP79" i="6"/>
  <c r="AR79" i="6"/>
  <c r="AT79" i="6" s="1"/>
  <c r="O50" i="6"/>
  <c r="Q50" i="6" s="1"/>
  <c r="M50" i="6"/>
  <c r="O41" i="6"/>
  <c r="M41" i="6"/>
  <c r="M89" i="6"/>
  <c r="O89" i="6"/>
  <c r="Q89" i="6" s="1"/>
  <c r="AE84" i="6"/>
  <c r="AD84" i="6"/>
  <c r="T73" i="6"/>
  <c r="Y73" i="6"/>
  <c r="AB73" i="6" s="1"/>
  <c r="AO73" i="6" s="1"/>
  <c r="AS73" i="6" s="1"/>
  <c r="S61" i="6"/>
  <c r="U61" i="6" s="1"/>
  <c r="Y61" i="6"/>
  <c r="AB61" i="6" s="1"/>
  <c r="S87" i="6"/>
  <c r="U87" i="6" s="1"/>
  <c r="Y87" i="6"/>
  <c r="AB87" i="6" s="1"/>
  <c r="T81" i="6"/>
  <c r="Y81" i="6"/>
  <c r="AB81" i="6" s="1"/>
  <c r="AN81" i="6" s="1"/>
  <c r="S70" i="6"/>
  <c r="U70" i="6" s="1"/>
  <c r="Y70" i="6"/>
  <c r="AB70" i="6" s="1"/>
  <c r="S78" i="6"/>
  <c r="U78" i="6" s="1"/>
  <c r="Y78" i="6"/>
  <c r="AB78" i="6" s="1"/>
  <c r="O57" i="6"/>
  <c r="Q57" i="6" s="1"/>
  <c r="M57" i="6"/>
  <c r="AD47" i="6"/>
  <c r="AE47" i="6"/>
  <c r="AD39" i="6"/>
  <c r="AE39" i="6"/>
  <c r="O17" i="6"/>
  <c r="M17" i="6"/>
  <c r="O21" i="6"/>
  <c r="M21" i="6"/>
  <c r="T65" i="6"/>
  <c r="U65" i="6" s="1"/>
  <c r="Y65" i="6"/>
  <c r="AB65" i="6" s="1"/>
  <c r="AO65" i="6" s="1"/>
  <c r="AS65" i="6" s="1"/>
  <c r="S29" i="6"/>
  <c r="U29" i="6" s="1"/>
  <c r="Y29" i="6"/>
  <c r="AB29" i="6" s="1"/>
  <c r="AO29" i="6" s="1"/>
  <c r="AS29" i="6" s="1"/>
  <c r="Y31" i="6"/>
  <c r="AB31" i="6" s="1"/>
  <c r="S31" i="6"/>
  <c r="U31" i="6" s="1"/>
  <c r="S26" i="6"/>
  <c r="U26" i="6" s="1"/>
  <c r="Y26" i="6"/>
  <c r="AB26" i="6" s="1"/>
  <c r="S6" i="6"/>
  <c r="U6" i="6" s="1"/>
  <c r="Y6" i="6"/>
  <c r="AB6" i="6" s="1"/>
  <c r="AD54" i="6"/>
  <c r="AE54" i="6"/>
  <c r="O53" i="6"/>
  <c r="Q53" i="6" s="1"/>
  <c r="M53" i="6"/>
  <c r="T41" i="6"/>
  <c r="U41" i="6" s="1"/>
  <c r="Y41" i="6"/>
  <c r="AB41" i="6" s="1"/>
  <c r="O25" i="6"/>
  <c r="M25" i="6"/>
  <c r="Y63" i="6"/>
  <c r="AB63" i="6" s="1"/>
  <c r="S63" i="6"/>
  <c r="U63" i="6" s="1"/>
  <c r="O38" i="6"/>
  <c r="Q38" i="6" s="1"/>
  <c r="M38" i="6"/>
  <c r="AC3" i="6"/>
  <c r="AO124" i="6"/>
  <c r="AS124" i="6" s="1"/>
  <c r="S136" i="6"/>
  <c r="U136" i="6" s="1"/>
  <c r="U115" i="6"/>
  <c r="AN42" i="6"/>
  <c r="AN18" i="6"/>
  <c r="U58" i="6"/>
  <c r="AN143" i="6"/>
  <c r="M131" i="6"/>
  <c r="T127" i="6"/>
  <c r="U127" i="6" s="1"/>
  <c r="AN125" i="6"/>
  <c r="AB138" i="6"/>
  <c r="AO134" i="6"/>
  <c r="AS134" i="6" s="1"/>
  <c r="AN122" i="6"/>
  <c r="Q110" i="6"/>
  <c r="Q106" i="6"/>
  <c r="AN121" i="6"/>
  <c r="H117" i="6"/>
  <c r="Y136" i="6"/>
  <c r="AB136" i="6" s="1"/>
  <c r="AN108" i="6"/>
  <c r="AB128" i="6"/>
  <c r="P117" i="6"/>
  <c r="H123" i="6"/>
  <c r="P119" i="6"/>
  <c r="T104" i="6"/>
  <c r="T128" i="6"/>
  <c r="U128" i="6" s="1"/>
  <c r="H115" i="6"/>
  <c r="AO91" i="6"/>
  <c r="AS91" i="6" s="1"/>
  <c r="T91" i="6"/>
  <c r="AB88" i="6"/>
  <c r="Q117" i="6"/>
  <c r="M94" i="6"/>
  <c r="P88" i="6"/>
  <c r="AB107" i="6"/>
  <c r="AN107" i="6" s="1"/>
  <c r="U80" i="6"/>
  <c r="U72" i="6"/>
  <c r="S122" i="6"/>
  <c r="U122" i="6" s="1"/>
  <c r="AB68" i="6"/>
  <c r="AO90" i="6"/>
  <c r="AS90" i="6" s="1"/>
  <c r="AN80" i="6"/>
  <c r="H95" i="6"/>
  <c r="AB89" i="6"/>
  <c r="AO69" i="6"/>
  <c r="AS69" i="6" s="1"/>
  <c r="H57" i="6"/>
  <c r="H80" i="6"/>
  <c r="AN72" i="6"/>
  <c r="AO44" i="6"/>
  <c r="AS44" i="6" s="1"/>
  <c r="U40" i="6"/>
  <c r="Y83" i="6"/>
  <c r="AB83" i="6" s="1"/>
  <c r="AB37" i="6"/>
  <c r="AO37" i="6" s="1"/>
  <c r="AS37" i="6" s="1"/>
  <c r="AN29" i="6"/>
  <c r="H22" i="6"/>
  <c r="P8" i="6"/>
  <c r="Q8" i="6" s="1"/>
  <c r="H5" i="6"/>
  <c r="AB51" i="6"/>
  <c r="M76" i="6"/>
  <c r="T57" i="6"/>
  <c r="H54" i="6"/>
  <c r="M40" i="6"/>
  <c r="M36" i="6"/>
  <c r="T22" i="6"/>
  <c r="P5" i="6"/>
  <c r="S77" i="6"/>
  <c r="U77" i="6" s="1"/>
  <c r="AO52" i="6"/>
  <c r="AS52" i="6" s="1"/>
  <c r="AN44" i="6"/>
  <c r="AB36" i="6"/>
  <c r="P34" i="6"/>
  <c r="Q34" i="6" s="1"/>
  <c r="M28" i="6"/>
  <c r="U24" i="6"/>
  <c r="AN13" i="6"/>
  <c r="AB76" i="6"/>
  <c r="P56" i="6"/>
  <c r="AN26" i="6"/>
  <c r="Y92" i="6"/>
  <c r="AB92" i="6" s="1"/>
  <c r="AN92" i="6" s="1"/>
  <c r="Y58" i="6"/>
  <c r="AB58" i="6" s="1"/>
  <c r="Y9" i="6"/>
  <c r="AB9" i="6" s="1"/>
  <c r="M32" i="6"/>
  <c r="AN12" i="6"/>
  <c r="AO17" i="6"/>
  <c r="AS17" i="6" s="1"/>
  <c r="S5" i="6"/>
  <c r="Y24" i="6"/>
  <c r="AB24" i="6" s="1"/>
  <c r="T8" i="6"/>
  <c r="U8" i="6" s="1"/>
  <c r="AB18" i="6"/>
  <c r="AA11" i="6"/>
  <c r="O121" i="6"/>
  <c r="Q121" i="6" s="1"/>
  <c r="M121" i="6"/>
  <c r="O107" i="6"/>
  <c r="Q107" i="6" s="1"/>
  <c r="M107" i="6"/>
  <c r="S133" i="6"/>
  <c r="U133" i="6" s="1"/>
  <c r="Y133" i="6"/>
  <c r="AB133" i="6" s="1"/>
  <c r="AN133" i="6" s="1"/>
  <c r="S120" i="6"/>
  <c r="U120" i="6" s="1"/>
  <c r="Y120" i="6"/>
  <c r="AB120" i="6" s="1"/>
  <c r="M126" i="6"/>
  <c r="O126" i="6"/>
  <c r="Q126" i="6" s="1"/>
  <c r="O99" i="6"/>
  <c r="Q99" i="6" s="1"/>
  <c r="M99" i="6"/>
  <c r="AE97" i="6"/>
  <c r="AD97" i="6"/>
  <c r="AF97" i="6" s="1"/>
  <c r="AE80" i="6"/>
  <c r="AD80" i="6"/>
  <c r="Y50" i="6"/>
  <c r="AB50" i="6" s="1"/>
  <c r="S50" i="6"/>
  <c r="U50" i="6" s="1"/>
  <c r="AE72" i="6"/>
  <c r="AD72" i="6"/>
  <c r="O62" i="6"/>
  <c r="Q62" i="6" s="1"/>
  <c r="M62" i="6"/>
  <c r="S57" i="6"/>
  <c r="Y57" i="6"/>
  <c r="AB57" i="6" s="1"/>
  <c r="H27" i="6"/>
  <c r="O27" i="6"/>
  <c r="Q27" i="6" s="1"/>
  <c r="O6" i="6"/>
  <c r="Q6" i="6" s="1"/>
  <c r="M6" i="6"/>
  <c r="O42" i="6"/>
  <c r="Q42" i="6" s="1"/>
  <c r="M42" i="6"/>
  <c r="S25" i="6"/>
  <c r="Y25" i="6"/>
  <c r="AB25" i="6" s="1"/>
  <c r="AE59" i="6"/>
  <c r="AD59" i="6"/>
  <c r="O66" i="6"/>
  <c r="Q66" i="6" s="1"/>
  <c r="M66" i="6"/>
  <c r="AP3" i="6"/>
  <c r="AR3" i="6"/>
  <c r="AT3" i="6" s="1"/>
  <c r="AE17" i="6"/>
  <c r="AD17" i="6"/>
  <c r="AD35" i="6"/>
  <c r="AE35" i="6"/>
  <c r="O111" i="6"/>
  <c r="Q111" i="6" s="1"/>
  <c r="M111" i="6"/>
  <c r="T132" i="6"/>
  <c r="U132" i="6" s="1"/>
  <c r="Y132" i="6"/>
  <c r="AB132" i="6" s="1"/>
  <c r="H118" i="6"/>
  <c r="S118" i="6"/>
  <c r="U118" i="6" s="1"/>
  <c r="M105" i="6"/>
  <c r="O105" i="6"/>
  <c r="Q105" i="6" s="1"/>
  <c r="O137" i="6"/>
  <c r="Q137" i="6" s="1"/>
  <c r="M137" i="6"/>
  <c r="AP117" i="6"/>
  <c r="AR117" i="6"/>
  <c r="AT117" i="6" s="1"/>
  <c r="M101" i="6"/>
  <c r="O101" i="6"/>
  <c r="Q101" i="6" s="1"/>
  <c r="O124" i="6"/>
  <c r="Q124" i="6" s="1"/>
  <c r="M124" i="6"/>
  <c r="T94" i="6"/>
  <c r="U94" i="6" s="1"/>
  <c r="Y94" i="6"/>
  <c r="AB94" i="6" s="1"/>
  <c r="S116" i="6"/>
  <c r="U116" i="6" s="1"/>
  <c r="Y116" i="6"/>
  <c r="AB116" i="6" s="1"/>
  <c r="S104" i="6"/>
  <c r="U104" i="6" s="1"/>
  <c r="Y104" i="6"/>
  <c r="AB104" i="6" s="1"/>
  <c r="AN104" i="6" s="1"/>
  <c r="P98" i="6"/>
  <c r="Q98" i="6" s="1"/>
  <c r="M98" i="6"/>
  <c r="AD109" i="6"/>
  <c r="AF109" i="6" s="1"/>
  <c r="AE109" i="6"/>
  <c r="M84" i="6"/>
  <c r="O84" i="6"/>
  <c r="Q84" i="6" s="1"/>
  <c r="O103" i="6"/>
  <c r="Q103" i="6" s="1"/>
  <c r="M103" i="6"/>
  <c r="S82" i="6"/>
  <c r="U82" i="6" s="1"/>
  <c r="Y82" i="6"/>
  <c r="AB82" i="6" s="1"/>
  <c r="AN82" i="6" s="1"/>
  <c r="AD79" i="6"/>
  <c r="AF79" i="6" s="1"/>
  <c r="AE79" i="6"/>
  <c r="S56" i="6"/>
  <c r="U56" i="6" s="1"/>
  <c r="H56" i="6"/>
  <c r="O56" i="6"/>
  <c r="Q56" i="6" s="1"/>
  <c r="T90" i="6"/>
  <c r="U90" i="6" s="1"/>
  <c r="Y90" i="6"/>
  <c r="AB90" i="6" s="1"/>
  <c r="O61" i="6"/>
  <c r="Q61" i="6" s="1"/>
  <c r="M61" i="6"/>
  <c r="M96" i="6"/>
  <c r="O96" i="6"/>
  <c r="Q96" i="6" s="1"/>
  <c r="O87" i="6"/>
  <c r="Q87" i="6" s="1"/>
  <c r="M87" i="6"/>
  <c r="O70" i="6"/>
  <c r="Q70" i="6" s="1"/>
  <c r="M70" i="6"/>
  <c r="M51" i="6"/>
  <c r="O51" i="6"/>
  <c r="Q51" i="6" s="1"/>
  <c r="AD117" i="6"/>
  <c r="AE117" i="6"/>
  <c r="O78" i="6"/>
  <c r="Q78" i="6" s="1"/>
  <c r="M78" i="6"/>
  <c r="T60" i="6"/>
  <c r="Y60" i="6"/>
  <c r="AB60" i="6" s="1"/>
  <c r="O5" i="6"/>
  <c r="M5" i="6"/>
  <c r="O29" i="6"/>
  <c r="Q29" i="6" s="1"/>
  <c r="M29" i="6"/>
  <c r="AD34" i="6"/>
  <c r="AE34" i="6"/>
  <c r="M19" i="6"/>
  <c r="O19" i="6"/>
  <c r="Q19" i="6" s="1"/>
  <c r="O14" i="6"/>
  <c r="Q14" i="6" s="1"/>
  <c r="M14" i="6"/>
  <c r="Y55" i="6"/>
  <c r="AB55" i="6" s="1"/>
  <c r="S55" i="6"/>
  <c r="U55" i="6" s="1"/>
  <c r="T32" i="6"/>
  <c r="Y32" i="6"/>
  <c r="AB32" i="6" s="1"/>
  <c r="S33" i="6"/>
  <c r="U33" i="6" s="1"/>
  <c r="Y33" i="6"/>
  <c r="AB33" i="6" s="1"/>
  <c r="AO33" i="6" s="1"/>
  <c r="AS33" i="6" s="1"/>
  <c r="AP23" i="6"/>
  <c r="AR23" i="6"/>
  <c r="AT23" i="6" s="1"/>
  <c r="AN140" i="6"/>
  <c r="S139" i="6"/>
  <c r="U139" i="6" s="1"/>
  <c r="AN129" i="6"/>
  <c r="H72" i="6"/>
  <c r="AO75" i="6"/>
  <c r="AS75" i="6" s="1"/>
  <c r="AN33" i="6"/>
  <c r="Q54" i="6"/>
  <c r="P135" i="6"/>
  <c r="Q135" i="6" s="1"/>
  <c r="P127" i="6"/>
  <c r="Q127" i="6" s="1"/>
  <c r="P142" i="6"/>
  <c r="Q142" i="6" s="1"/>
  <c r="AO139" i="6"/>
  <c r="AS139" i="6" s="1"/>
  <c r="U135" i="6"/>
  <c r="U142" i="6"/>
  <c r="M138" i="6"/>
  <c r="AB131" i="6"/>
  <c r="M127" i="6"/>
  <c r="AN142" i="6"/>
  <c r="AB126" i="6"/>
  <c r="AN126" i="6" s="1"/>
  <c r="P140" i="6"/>
  <c r="T123" i="6"/>
  <c r="U123" i="6" s="1"/>
  <c r="M135" i="6"/>
  <c r="AO114" i="6"/>
  <c r="AS114" i="6" s="1"/>
  <c r="U110" i="6"/>
  <c r="U106" i="6"/>
  <c r="AN134" i="6"/>
  <c r="AO113" i="6"/>
  <c r="AS113" i="6" s="1"/>
  <c r="AN137" i="6"/>
  <c r="P102" i="6"/>
  <c r="AN113" i="6"/>
  <c r="M110" i="6"/>
  <c r="AB127" i="6"/>
  <c r="P120" i="6"/>
  <c r="AO120" i="6"/>
  <c r="AS120" i="6" s="1"/>
  <c r="AO87" i="6"/>
  <c r="AS87" i="6" s="1"/>
  <c r="H128" i="6"/>
  <c r="P128" i="6"/>
  <c r="AB118" i="6"/>
  <c r="Y123" i="6"/>
  <c r="AB123" i="6" s="1"/>
  <c r="AO88" i="6"/>
  <c r="AS88" i="6" s="1"/>
  <c r="P80" i="6"/>
  <c r="Q80" i="6" s="1"/>
  <c r="P72" i="6"/>
  <c r="Q72" i="6" s="1"/>
  <c r="P64" i="6"/>
  <c r="Q64" i="6" s="1"/>
  <c r="T107" i="6"/>
  <c r="U107" i="6" s="1"/>
  <c r="O92" i="6"/>
  <c r="Q92" i="6" s="1"/>
  <c r="S119" i="6"/>
  <c r="U119" i="6" s="1"/>
  <c r="AO80" i="6"/>
  <c r="AS80" i="6" s="1"/>
  <c r="Q76" i="6"/>
  <c r="Q68" i="6"/>
  <c r="Y98" i="6"/>
  <c r="AB98" i="6" s="1"/>
  <c r="AO67" i="6"/>
  <c r="AS67" i="6" s="1"/>
  <c r="H111" i="6"/>
  <c r="H73" i="6"/>
  <c r="P73" i="6"/>
  <c r="H53" i="6"/>
  <c r="T53" i="6"/>
  <c r="S89" i="6"/>
  <c r="U89" i="6" s="1"/>
  <c r="P81" i="6"/>
  <c r="AN70" i="6"/>
  <c r="AO61" i="6"/>
  <c r="AS61" i="6" s="1"/>
  <c r="P52" i="6"/>
  <c r="S73" i="6"/>
  <c r="U73" i="6" s="1"/>
  <c r="AN45" i="6"/>
  <c r="AN78" i="6"/>
  <c r="AO53" i="6"/>
  <c r="AS53" i="6" s="1"/>
  <c r="AN84" i="6"/>
  <c r="AN47" i="6"/>
  <c r="T25" i="6"/>
  <c r="P22" i="6"/>
  <c r="P12" i="6"/>
  <c r="Q12" i="6" s="1"/>
  <c r="U45" i="6"/>
  <c r="S51" i="6"/>
  <c r="U51" i="6" s="1"/>
  <c r="P65" i="6"/>
  <c r="AO93" i="6"/>
  <c r="AS93" i="6" s="1"/>
  <c r="AN59" i="6"/>
  <c r="AB40" i="6"/>
  <c r="AO40" i="6" s="1"/>
  <c r="AS40" i="6" s="1"/>
  <c r="U36" i="6"/>
  <c r="P17" i="6"/>
  <c r="T5" i="6"/>
  <c r="Y77" i="6"/>
  <c r="AB77" i="6" s="1"/>
  <c r="S54" i="6"/>
  <c r="U54" i="6" s="1"/>
  <c r="AN53" i="6"/>
  <c r="O52" i="6"/>
  <c r="Q52" i="6" s="1"/>
  <c r="H41" i="6"/>
  <c r="P41" i="6"/>
  <c r="AO21" i="6"/>
  <c r="AS21" i="6" s="1"/>
  <c r="M83" i="6"/>
  <c r="P49" i="6"/>
  <c r="AO49" i="6"/>
  <c r="AS49" i="6" s="1"/>
  <c r="AN52" i="6"/>
  <c r="AO34" i="6"/>
  <c r="AS34" i="6" s="1"/>
  <c r="AN17" i="6"/>
  <c r="Q16" i="6"/>
  <c r="U12" i="6"/>
  <c r="AN106" i="6"/>
  <c r="AO58" i="6"/>
  <c r="AS58" i="6" s="1"/>
  <c r="Y48" i="6"/>
  <c r="AB48" i="6" s="1"/>
  <c r="AO45" i="6"/>
  <c r="AS45" i="6" s="1"/>
  <c r="T37" i="6"/>
  <c r="U37" i="6" s="1"/>
  <c r="S92" i="6"/>
  <c r="U92" i="6" s="1"/>
  <c r="H65" i="6"/>
  <c r="AO25" i="6"/>
  <c r="AS25" i="6" s="1"/>
  <c r="M34" i="6"/>
  <c r="M16" i="6"/>
  <c r="S13" i="6"/>
  <c r="U13" i="6" s="1"/>
  <c r="Y5" i="6"/>
  <c r="Z5" i="6" s="1"/>
  <c r="Q28" i="6"/>
  <c r="AB8" i="6"/>
  <c r="AN35" i="6"/>
  <c r="AB4" i="6"/>
  <c r="AF30" i="6"/>
  <c r="AA79" i="6"/>
  <c r="Z4" i="6"/>
  <c r="AA28" i="6"/>
  <c r="AA54" i="6"/>
  <c r="Z62" i="6"/>
  <c r="Z117" i="6"/>
  <c r="F26" i="7" l="1"/>
  <c r="K26" i="7" s="1"/>
  <c r="F42" i="7" s="1"/>
  <c r="G42" i="7" s="1"/>
  <c r="R26" i="7" s="1"/>
  <c r="T26" i="7" s="1"/>
  <c r="F24" i="7"/>
  <c r="K24" i="7" s="1"/>
  <c r="F40" i="7" s="1"/>
  <c r="G40" i="7" s="1"/>
  <c r="R24" i="7" s="1"/>
  <c r="T24" i="7" s="1"/>
  <c r="F27" i="7"/>
  <c r="K27" i="7" s="1"/>
  <c r="F36" i="7" s="1"/>
  <c r="G36" i="7" s="1"/>
  <c r="F39" i="7"/>
  <c r="G39" i="7" s="1"/>
  <c r="R23" i="7" s="1"/>
  <c r="T23" i="7" s="1"/>
  <c r="F41" i="7"/>
  <c r="G41" i="7" s="1"/>
  <c r="R25" i="7" s="1"/>
  <c r="T25" i="7" s="1"/>
  <c r="F34" i="7"/>
  <c r="G34" i="7" s="1"/>
  <c r="F38" i="7"/>
  <c r="G38" i="7" s="1"/>
  <c r="F31" i="7"/>
  <c r="G31" i="7" s="1"/>
  <c r="F58" i="7"/>
  <c r="F60" i="7"/>
  <c r="F57" i="7"/>
  <c r="F59" i="7"/>
  <c r="AO111" i="6"/>
  <c r="AS111" i="6" s="1"/>
  <c r="AN111" i="6"/>
  <c r="AA30" i="6"/>
  <c r="AN54" i="6"/>
  <c r="Q5" i="6"/>
  <c r="Z7" i="6"/>
  <c r="Z8" i="6"/>
  <c r="AP114" i="6"/>
  <c r="I4" i="6"/>
  <c r="Q67" i="6"/>
  <c r="AN15" i="6"/>
  <c r="AP11" i="6"/>
  <c r="I138" i="6"/>
  <c r="Z111" i="6"/>
  <c r="AA74" i="6"/>
  <c r="AA86" i="6"/>
  <c r="AA101" i="6"/>
  <c r="AA26" i="6"/>
  <c r="AA14" i="6"/>
  <c r="Z17" i="6"/>
  <c r="AO107" i="6"/>
  <c r="AS107" i="6" s="1"/>
  <c r="Z22" i="6"/>
  <c r="U20" i="6"/>
  <c r="AA128" i="6"/>
  <c r="Z55" i="6"/>
  <c r="Z140" i="6"/>
  <c r="Z69" i="6"/>
  <c r="AA111" i="6"/>
  <c r="Z91" i="6"/>
  <c r="AA41" i="6"/>
  <c r="AA9" i="6"/>
  <c r="AA6" i="6"/>
  <c r="Z13" i="6"/>
  <c r="U60" i="6"/>
  <c r="Z19" i="6"/>
  <c r="Q21" i="6"/>
  <c r="R23" i="6" s="1"/>
  <c r="Q17" i="6"/>
  <c r="U140" i="6"/>
  <c r="AT39" i="6"/>
  <c r="Z6" i="6"/>
  <c r="AN7" i="6"/>
  <c r="AO43" i="6"/>
  <c r="AS43" i="6" s="1"/>
  <c r="AN43" i="6"/>
  <c r="AF93" i="6"/>
  <c r="AF142" i="6"/>
  <c r="AF106" i="6"/>
  <c r="AF135" i="6"/>
  <c r="AF44" i="6"/>
  <c r="Q22" i="6"/>
  <c r="U57" i="6"/>
  <c r="AF45" i="6"/>
  <c r="AF114" i="6"/>
  <c r="AF54" i="6"/>
  <c r="AF47" i="6"/>
  <c r="Q41" i="6"/>
  <c r="AR96" i="6"/>
  <c r="AR82" i="6"/>
  <c r="AR133" i="6"/>
  <c r="V20" i="6"/>
  <c r="V4" i="6"/>
  <c r="AP59" i="6"/>
  <c r="AR59" i="6"/>
  <c r="AT59" i="6" s="1"/>
  <c r="AR92" i="6"/>
  <c r="AP134" i="6"/>
  <c r="AR134" i="6"/>
  <c r="AT134" i="6" s="1"/>
  <c r="AO131" i="6"/>
  <c r="AS131" i="6" s="1"/>
  <c r="AN131" i="6"/>
  <c r="AR129" i="6"/>
  <c r="AN32" i="6"/>
  <c r="AR12" i="6"/>
  <c r="AT12" i="6" s="1"/>
  <c r="AP12" i="6"/>
  <c r="AN76" i="6"/>
  <c r="AO76" i="6"/>
  <c r="AS76" i="6" s="1"/>
  <c r="AR44" i="6"/>
  <c r="AT44" i="6" s="1"/>
  <c r="AP44" i="6"/>
  <c r="AE136" i="6"/>
  <c r="AD136" i="6"/>
  <c r="AR122" i="6"/>
  <c r="AP143" i="6"/>
  <c r="AR143" i="6"/>
  <c r="AT143" i="6" s="1"/>
  <c r="AR18" i="6"/>
  <c r="AR107" i="6"/>
  <c r="AT107" i="6" s="1"/>
  <c r="AP107" i="6"/>
  <c r="AO63" i="6"/>
  <c r="AS63" i="6" s="1"/>
  <c r="AN91" i="6"/>
  <c r="AO64" i="6"/>
  <c r="AS64" i="6" s="1"/>
  <c r="AN64" i="6"/>
  <c r="AE86" i="6"/>
  <c r="AD86" i="6"/>
  <c r="AR81" i="6"/>
  <c r="AN110" i="6"/>
  <c r="AR62" i="6"/>
  <c r="AR112" i="6"/>
  <c r="AD121" i="6"/>
  <c r="AE121" i="6"/>
  <c r="AP35" i="6"/>
  <c r="AR35" i="6"/>
  <c r="AT35" i="6" s="1"/>
  <c r="AO48" i="6"/>
  <c r="AS48" i="6" s="1"/>
  <c r="AN48" i="6"/>
  <c r="AR106" i="6"/>
  <c r="AT106" i="6" s="1"/>
  <c r="AP106" i="6"/>
  <c r="AR17" i="6"/>
  <c r="AT17" i="6" s="1"/>
  <c r="AP17" i="6"/>
  <c r="AN77" i="6"/>
  <c r="AN40" i="6"/>
  <c r="AP84" i="6"/>
  <c r="AR84" i="6"/>
  <c r="AT84" i="6" s="1"/>
  <c r="AR45" i="6"/>
  <c r="AT45" i="6" s="1"/>
  <c r="AP45" i="6"/>
  <c r="AR70" i="6"/>
  <c r="AP113" i="6"/>
  <c r="AR113" i="6"/>
  <c r="AT113" i="6" s="1"/>
  <c r="AR140" i="6"/>
  <c r="AT140" i="6" s="1"/>
  <c r="AP140" i="6"/>
  <c r="AO55" i="6"/>
  <c r="AS55" i="6" s="1"/>
  <c r="AO104" i="6"/>
  <c r="AS104" i="6" s="1"/>
  <c r="AO94" i="6"/>
  <c r="AS94" i="6" s="1"/>
  <c r="AN94" i="6"/>
  <c r="AN25" i="6"/>
  <c r="AE57" i="6"/>
  <c r="AD57" i="6"/>
  <c r="AN120" i="6"/>
  <c r="AD18" i="6"/>
  <c r="AF18" i="6" s="1"/>
  <c r="AE18" i="6"/>
  <c r="AD58" i="6"/>
  <c r="AE58" i="6"/>
  <c r="AO36" i="6"/>
  <c r="AS36" i="6" s="1"/>
  <c r="AN36" i="6"/>
  <c r="AO51" i="6"/>
  <c r="AS51" i="6" s="1"/>
  <c r="AR29" i="6"/>
  <c r="AT29" i="6" s="1"/>
  <c r="AP29" i="6"/>
  <c r="AD83" i="6"/>
  <c r="AF83" i="6" s="1"/>
  <c r="AE83" i="6"/>
  <c r="AR80" i="6"/>
  <c r="AT80" i="6" s="1"/>
  <c r="AP80" i="6"/>
  <c r="AP121" i="6"/>
  <c r="AR121" i="6"/>
  <c r="AT121" i="6" s="1"/>
  <c r="AE111" i="6"/>
  <c r="AD111" i="6"/>
  <c r="AF111" i="6" s="1"/>
  <c r="AN41" i="6"/>
  <c r="AO26" i="6"/>
  <c r="AS26" i="6" s="1"/>
  <c r="AE29" i="6"/>
  <c r="AD29" i="6"/>
  <c r="AO78" i="6"/>
  <c r="AS78" i="6" s="1"/>
  <c r="AE81" i="6"/>
  <c r="AD81" i="6"/>
  <c r="AN61" i="6"/>
  <c r="AE103" i="6"/>
  <c r="AD103" i="6"/>
  <c r="AE124" i="6"/>
  <c r="AD124" i="6"/>
  <c r="AE140" i="6"/>
  <c r="AD140" i="6"/>
  <c r="AO13" i="6"/>
  <c r="AS13" i="6" s="1"/>
  <c r="AR22" i="6"/>
  <c r="AR66" i="6"/>
  <c r="AR46" i="6"/>
  <c r="AR74" i="6"/>
  <c r="AO122" i="6"/>
  <c r="AS122" i="6" s="1"/>
  <c r="AN20" i="6"/>
  <c r="AO42" i="6"/>
  <c r="AS42" i="6" s="1"/>
  <c r="AO62" i="6"/>
  <c r="AS62" i="6" s="1"/>
  <c r="AN69" i="6"/>
  <c r="AN101" i="6"/>
  <c r="AO101" i="6"/>
  <c r="AS101" i="6" s="1"/>
  <c r="AO105" i="6"/>
  <c r="AS105" i="6" s="1"/>
  <c r="U25" i="6"/>
  <c r="Z121" i="6"/>
  <c r="Z104" i="6"/>
  <c r="AA112" i="6"/>
  <c r="AA106" i="6"/>
  <c r="AA89" i="6"/>
  <c r="AA57" i="6"/>
  <c r="Z67" i="6"/>
  <c r="AA64" i="6"/>
  <c r="Z34" i="6"/>
  <c r="Z47" i="6"/>
  <c r="AO32" i="6"/>
  <c r="AS32" i="6" s="1"/>
  <c r="Q120" i="6"/>
  <c r="Q140" i="6"/>
  <c r="AA137" i="6"/>
  <c r="AA134" i="6"/>
  <c r="Z92" i="6"/>
  <c r="AA142" i="6"/>
  <c r="AA117" i="6"/>
  <c r="AA77" i="6"/>
  <c r="Z85" i="6"/>
  <c r="Z57" i="6"/>
  <c r="Z35" i="6"/>
  <c r="R16" i="6"/>
  <c r="R14" i="6"/>
  <c r="R18" i="6"/>
  <c r="AA136" i="6"/>
  <c r="Z130" i="6"/>
  <c r="AA119" i="6"/>
  <c r="AA87" i="6"/>
  <c r="Z119" i="6"/>
  <c r="Z120" i="6"/>
  <c r="AA100" i="6"/>
  <c r="Z70" i="6"/>
  <c r="AA84" i="6"/>
  <c r="Z77" i="6"/>
  <c r="Z48" i="6"/>
  <c r="AA83" i="6"/>
  <c r="Z76" i="6"/>
  <c r="Z36" i="6"/>
  <c r="AA63" i="6"/>
  <c r="Z23" i="6"/>
  <c r="AA15" i="6"/>
  <c r="AA8" i="6"/>
  <c r="AF117" i="6"/>
  <c r="AF17" i="6"/>
  <c r="AF72" i="6"/>
  <c r="AF80" i="6"/>
  <c r="Z129" i="6"/>
  <c r="AA125" i="6"/>
  <c r="Z112" i="6"/>
  <c r="Z123" i="6"/>
  <c r="AA114" i="6"/>
  <c r="Z103" i="6"/>
  <c r="Z93" i="6"/>
  <c r="AA65" i="6"/>
  <c r="Z75" i="6"/>
  <c r="AA72" i="6"/>
  <c r="Z42" i="6"/>
  <c r="AA59" i="6"/>
  <c r="AA56" i="6"/>
  <c r="AA31" i="6"/>
  <c r="AA34" i="6"/>
  <c r="Z15" i="6"/>
  <c r="Z29" i="6"/>
  <c r="AO18" i="6"/>
  <c r="AS18" i="6" s="1"/>
  <c r="AO115" i="6"/>
  <c r="AS115" i="6" s="1"/>
  <c r="AN119" i="6"/>
  <c r="AN136" i="6"/>
  <c r="AC4" i="6"/>
  <c r="AF84" i="6"/>
  <c r="Q81" i="6"/>
  <c r="Z143" i="6"/>
  <c r="AA131" i="6"/>
  <c r="Z100" i="6"/>
  <c r="AA108" i="6"/>
  <c r="AA98" i="6"/>
  <c r="Z87" i="6"/>
  <c r="Z84" i="6"/>
  <c r="AA53" i="6"/>
  <c r="Z63" i="6"/>
  <c r="AA71" i="6"/>
  <c r="Z30" i="6"/>
  <c r="Z43" i="6"/>
  <c r="Z41" i="6"/>
  <c r="Z14" i="6"/>
  <c r="Z80" i="6"/>
  <c r="Z27" i="6"/>
  <c r="AO41" i="6"/>
  <c r="AS41" i="6" s="1"/>
  <c r="AO57" i="6"/>
  <c r="AS57" i="6" s="1"/>
  <c r="U81" i="6"/>
  <c r="Q102" i="6"/>
  <c r="AN88" i="6"/>
  <c r="AO103" i="6"/>
  <c r="AS103" i="6" s="1"/>
  <c r="AO110" i="6"/>
  <c r="AS110" i="6" s="1"/>
  <c r="AN103" i="6"/>
  <c r="AF27" i="6"/>
  <c r="R9" i="6"/>
  <c r="R19" i="6"/>
  <c r="R15" i="6"/>
  <c r="R10" i="6"/>
  <c r="U86" i="6"/>
  <c r="U102" i="6"/>
  <c r="Q73" i="6"/>
  <c r="Q128" i="6"/>
  <c r="U53" i="6"/>
  <c r="AF67" i="6"/>
  <c r="AF75" i="6"/>
  <c r="AF130" i="6"/>
  <c r="I16" i="6"/>
  <c r="I99" i="6"/>
  <c r="I117" i="6"/>
  <c r="I13" i="6"/>
  <c r="I28" i="6"/>
  <c r="I41" i="6"/>
  <c r="I30" i="6"/>
  <c r="I101" i="6"/>
  <c r="I78" i="6"/>
  <c r="I95" i="6"/>
  <c r="I123" i="6"/>
  <c r="I134" i="6"/>
  <c r="I7" i="6"/>
  <c r="I73" i="6"/>
  <c r="I96" i="6"/>
  <c r="I51" i="6"/>
  <c r="I33" i="6"/>
  <c r="I52" i="6"/>
  <c r="I69" i="6"/>
  <c r="I54" i="6"/>
  <c r="I83" i="6"/>
  <c r="I127" i="6"/>
  <c r="I132" i="6"/>
  <c r="I29" i="6"/>
  <c r="I26" i="6"/>
  <c r="I86" i="6"/>
  <c r="I121" i="6"/>
  <c r="I64" i="6"/>
  <c r="I24" i="6"/>
  <c r="I47" i="6"/>
  <c r="I65" i="6"/>
  <c r="I50" i="6"/>
  <c r="I120" i="6"/>
  <c r="I124" i="6"/>
  <c r="I128" i="6"/>
  <c r="AN8" i="6"/>
  <c r="AO8" i="6"/>
  <c r="AS8" i="6" s="1"/>
  <c r="AD92" i="6"/>
  <c r="AE92" i="6"/>
  <c r="AN128" i="6"/>
  <c r="AR55" i="6"/>
  <c r="AP67" i="6"/>
  <c r="AR67" i="6"/>
  <c r="AT67" i="6" s="1"/>
  <c r="AE119" i="6"/>
  <c r="AD119" i="6"/>
  <c r="AR104" i="6"/>
  <c r="AO14" i="6"/>
  <c r="AS14" i="6" s="1"/>
  <c r="AN14" i="6"/>
  <c r="AO96" i="6"/>
  <c r="AS96" i="6" s="1"/>
  <c r="AN95" i="6"/>
  <c r="AO129" i="6"/>
  <c r="AS129" i="6" s="1"/>
  <c r="AE115" i="6"/>
  <c r="AD115" i="6"/>
  <c r="AO38" i="6"/>
  <c r="AS38" i="6" s="1"/>
  <c r="AN10" i="6"/>
  <c r="AO10" i="6"/>
  <c r="AS10" i="6" s="1"/>
  <c r="AO141" i="6"/>
  <c r="AS141" i="6" s="1"/>
  <c r="AD143" i="6"/>
  <c r="AF143" i="6" s="1"/>
  <c r="AE143" i="6"/>
  <c r="AN4" i="6"/>
  <c r="AO4" i="6"/>
  <c r="AS4" i="6" s="1"/>
  <c r="AB5" i="6"/>
  <c r="AC26" i="6" s="1"/>
  <c r="AA124" i="6"/>
  <c r="Z142" i="6"/>
  <c r="Z136" i="6"/>
  <c r="Z128" i="6"/>
  <c r="AA107" i="6"/>
  <c r="AA130" i="6"/>
  <c r="Z113" i="6"/>
  <c r="Z115" i="6"/>
  <c r="Z107" i="6"/>
  <c r="AA105" i="6"/>
  <c r="Z94" i="6"/>
  <c r="AA94" i="6"/>
  <c r="Z82" i="6"/>
  <c r="Z66" i="6"/>
  <c r="AA88" i="6"/>
  <c r="AA62" i="6"/>
  <c r="Z73" i="6"/>
  <c r="Z61" i="6"/>
  <c r="AA37" i="6"/>
  <c r="AA67" i="6"/>
  <c r="AA48" i="6"/>
  <c r="Z60" i="6"/>
  <c r="AA51" i="6"/>
  <c r="Z33" i="6"/>
  <c r="AA20" i="6"/>
  <c r="AA39" i="6"/>
  <c r="AA23" i="6"/>
  <c r="AA19" i="6"/>
  <c r="AA18" i="6"/>
  <c r="Z20" i="6"/>
  <c r="AA47" i="6"/>
  <c r="AA140" i="6"/>
  <c r="Z134" i="6"/>
  <c r="AA115" i="6"/>
  <c r="AA99" i="6"/>
  <c r="Z105" i="6"/>
  <c r="Z97" i="6"/>
  <c r="Z110" i="6"/>
  <c r="Z74" i="6"/>
  <c r="Z50" i="6"/>
  <c r="AA70" i="6"/>
  <c r="Z81" i="6"/>
  <c r="AA55" i="6"/>
  <c r="AA29" i="6"/>
  <c r="Z114" i="6"/>
  <c r="Z44" i="6"/>
  <c r="AA5" i="6"/>
  <c r="Z28" i="6"/>
  <c r="Z99" i="6"/>
  <c r="Z31" i="6"/>
  <c r="AA132" i="6"/>
  <c r="Z126" i="6"/>
  <c r="AA127" i="6"/>
  <c r="AA91" i="6"/>
  <c r="Z124" i="6"/>
  <c r="Z139" i="6"/>
  <c r="Z83" i="6"/>
  <c r="Z101" i="6"/>
  <c r="Z58" i="6"/>
  <c r="AA78" i="6"/>
  <c r="Z65" i="6"/>
  <c r="AA45" i="6"/>
  <c r="AA21" i="6"/>
  <c r="AA42" i="6"/>
  <c r="AA40" i="6"/>
  <c r="AA13" i="6"/>
  <c r="Z56" i="6"/>
  <c r="AA10" i="6"/>
  <c r="AA7" i="6"/>
  <c r="AA12" i="6"/>
  <c r="AP47" i="6"/>
  <c r="AR47" i="6"/>
  <c r="AT47" i="6" s="1"/>
  <c r="AO98" i="6"/>
  <c r="AS98" i="6" s="1"/>
  <c r="AN98" i="6"/>
  <c r="AN118" i="6"/>
  <c r="AR137" i="6"/>
  <c r="AP142" i="6"/>
  <c r="AR142" i="6"/>
  <c r="AT142" i="6" s="1"/>
  <c r="AE33" i="6"/>
  <c r="AD33" i="6"/>
  <c r="AN60" i="6"/>
  <c r="AN90" i="6"/>
  <c r="AQ3" i="6"/>
  <c r="AO50" i="6"/>
  <c r="AS50" i="6" s="1"/>
  <c r="AN9" i="6"/>
  <c r="AO9" i="6"/>
  <c r="AS9" i="6" s="1"/>
  <c r="AR13" i="6"/>
  <c r="AT13" i="6" s="1"/>
  <c r="AR72" i="6"/>
  <c r="AT72" i="6" s="1"/>
  <c r="AP72" i="6"/>
  <c r="AO89" i="6"/>
  <c r="AS89" i="6" s="1"/>
  <c r="AD88" i="6"/>
  <c r="AE88" i="6"/>
  <c r="AR108" i="6"/>
  <c r="AR111" i="6"/>
  <c r="AT111" i="6" s="1"/>
  <c r="AP111" i="6"/>
  <c r="AN138" i="6"/>
  <c r="AO138" i="6"/>
  <c r="AS138" i="6" s="1"/>
  <c r="AO31" i="6"/>
  <c r="AS31" i="6" s="1"/>
  <c r="AN31" i="6"/>
  <c r="AO108" i="6"/>
  <c r="AS108" i="6" s="1"/>
  <c r="AN16" i="6"/>
  <c r="AN28" i="6"/>
  <c r="AO28" i="6"/>
  <c r="AS28" i="6" s="1"/>
  <c r="AP71" i="6"/>
  <c r="AR71" i="6"/>
  <c r="AT71" i="6" s="1"/>
  <c r="AP97" i="6"/>
  <c r="AR97" i="6"/>
  <c r="AT97" i="6" s="1"/>
  <c r="AP105" i="6"/>
  <c r="AR105" i="6"/>
  <c r="AT105" i="6" s="1"/>
  <c r="AO22" i="6"/>
  <c r="AS22" i="6" s="1"/>
  <c r="AO74" i="6"/>
  <c r="AS74" i="6" s="1"/>
  <c r="AO112" i="6"/>
  <c r="AS112" i="6" s="1"/>
  <c r="AN99" i="6"/>
  <c r="AN56" i="6"/>
  <c r="AE53" i="6"/>
  <c r="AD53" i="6"/>
  <c r="AN21" i="6"/>
  <c r="AN85" i="6"/>
  <c r="AD100" i="6"/>
  <c r="AE100" i="6"/>
  <c r="AA135" i="6"/>
  <c r="AA90" i="6"/>
  <c r="Z45" i="6"/>
  <c r="Z141" i="6"/>
  <c r="AA126" i="6"/>
  <c r="AA102" i="6"/>
  <c r="Z51" i="6"/>
  <c r="R13" i="6"/>
  <c r="R20" i="6"/>
  <c r="AT34" i="6"/>
  <c r="I14" i="6"/>
  <c r="I74" i="6"/>
  <c r="I136" i="6"/>
  <c r="I31" i="6"/>
  <c r="I27" i="6"/>
  <c r="I60" i="6"/>
  <c r="I46" i="6"/>
  <c r="I67" i="6"/>
  <c r="I110" i="6"/>
  <c r="I122" i="6"/>
  <c r="I100" i="6"/>
  <c r="I125" i="6"/>
  <c r="I12" i="6"/>
  <c r="I79" i="6"/>
  <c r="I130" i="6"/>
  <c r="I21" i="6"/>
  <c r="I72" i="6"/>
  <c r="I22" i="6"/>
  <c r="I85" i="6"/>
  <c r="I70" i="6"/>
  <c r="I103" i="6"/>
  <c r="I113" i="6"/>
  <c r="I126" i="6"/>
  <c r="I23" i="6"/>
  <c r="I59" i="6"/>
  <c r="I135" i="6"/>
  <c r="I44" i="6"/>
  <c r="I15" i="6"/>
  <c r="I56" i="6"/>
  <c r="I18" i="6"/>
  <c r="I81" i="6"/>
  <c r="I66" i="6"/>
  <c r="I94" i="6"/>
  <c r="I109" i="6"/>
  <c r="Z138" i="6"/>
  <c r="Z135" i="6"/>
  <c r="AA95" i="6"/>
  <c r="Z127" i="6"/>
  <c r="AA93" i="6"/>
  <c r="Z118" i="6"/>
  <c r="Z78" i="6"/>
  <c r="Z122" i="6"/>
  <c r="Z90" i="6"/>
  <c r="Z59" i="6"/>
  <c r="AA25" i="6"/>
  <c r="AA38" i="6"/>
  <c r="AA58" i="6"/>
  <c r="AA36" i="6"/>
  <c r="Z32" i="6"/>
  <c r="AA16" i="6"/>
  <c r="AN63" i="6"/>
  <c r="AO119" i="6"/>
  <c r="AS119" i="6" s="1"/>
  <c r="AO136" i="6"/>
  <c r="AS136" i="6" s="1"/>
  <c r="AF35" i="6"/>
  <c r="AA133" i="6"/>
  <c r="AA121" i="6"/>
  <c r="Z88" i="6"/>
  <c r="AA122" i="6"/>
  <c r="AA123" i="6"/>
  <c r="AA109" i="6"/>
  <c r="AA73" i="6"/>
  <c r="Z86" i="6"/>
  <c r="AA80" i="6"/>
  <c r="AA50" i="6"/>
  <c r="Z18" i="6"/>
  <c r="AA97" i="6"/>
  <c r="AA43" i="6"/>
  <c r="AA143" i="6"/>
  <c r="AA24" i="6"/>
  <c r="Z16" i="6"/>
  <c r="Z12" i="6"/>
  <c r="U5" i="6"/>
  <c r="V13" i="6" s="1"/>
  <c r="AN38" i="6"/>
  <c r="AO77" i="6"/>
  <c r="AS77" i="6" s="1"/>
  <c r="AO86" i="6"/>
  <c r="AS86" i="6" s="1"/>
  <c r="AN141" i="6"/>
  <c r="AN83" i="6"/>
  <c r="AC41" i="6"/>
  <c r="AC17" i="6"/>
  <c r="AC82" i="6"/>
  <c r="AC56" i="6"/>
  <c r="AC47" i="6"/>
  <c r="AC84" i="6"/>
  <c r="AC123" i="6"/>
  <c r="AC113" i="6"/>
  <c r="AC138" i="6"/>
  <c r="Q25" i="6"/>
  <c r="AF39" i="6"/>
  <c r="AF12" i="6"/>
  <c r="U32" i="6"/>
  <c r="Z125" i="6"/>
  <c r="AA139" i="6"/>
  <c r="Z108" i="6"/>
  <c r="AA116" i="6"/>
  <c r="AA110" i="6"/>
  <c r="AA96" i="6"/>
  <c r="AA113" i="6"/>
  <c r="AA61" i="6"/>
  <c r="Z71" i="6"/>
  <c r="AA68" i="6"/>
  <c r="Z38" i="6"/>
  <c r="Z52" i="6"/>
  <c r="Z53" i="6"/>
  <c r="Z24" i="6"/>
  <c r="Z25" i="6"/>
  <c r="Z11" i="6"/>
  <c r="AA22" i="6"/>
  <c r="AN50" i="6"/>
  <c r="AN51" i="6"/>
  <c r="AO81" i="6"/>
  <c r="AS81" i="6" s="1"/>
  <c r="AN87" i="6"/>
  <c r="U69" i="6"/>
  <c r="AO128" i="6"/>
  <c r="AS128" i="6" s="1"/>
  <c r="AO16" i="6"/>
  <c r="AS16" i="6" s="1"/>
  <c r="AO60" i="6"/>
  <c r="AS60" i="6" s="1"/>
  <c r="AN89" i="6"/>
  <c r="AN115" i="6"/>
  <c r="R8" i="6"/>
  <c r="R5" i="6"/>
  <c r="R12" i="6"/>
  <c r="R11" i="6"/>
  <c r="R6" i="6"/>
  <c r="R26" i="6"/>
  <c r="Q88" i="6"/>
  <c r="Z137" i="6"/>
  <c r="I42" i="6"/>
  <c r="I106" i="6"/>
  <c r="I32" i="6"/>
  <c r="I11" i="6"/>
  <c r="I40" i="6"/>
  <c r="I76" i="6"/>
  <c r="I77" i="6"/>
  <c r="I62" i="6"/>
  <c r="I89" i="6"/>
  <c r="I105" i="6"/>
  <c r="I140" i="6"/>
  <c r="I9" i="6"/>
  <c r="I61" i="6"/>
  <c r="I115" i="6"/>
  <c r="I20" i="6"/>
  <c r="I10" i="6"/>
  <c r="I35" i="6"/>
  <c r="I57" i="6"/>
  <c r="I75" i="6"/>
  <c r="I93" i="6"/>
  <c r="I111" i="6"/>
  <c r="I108" i="6"/>
  <c r="I133" i="6"/>
  <c r="I39" i="6"/>
  <c r="I58" i="6"/>
  <c r="I112" i="6"/>
  <c r="I49" i="6"/>
  <c r="I6" i="6"/>
  <c r="I68" i="6"/>
  <c r="I48" i="6"/>
  <c r="I71" i="6"/>
  <c r="I91" i="6"/>
  <c r="I107" i="6"/>
  <c r="I104" i="6"/>
  <c r="I129" i="6"/>
  <c r="AR52" i="6"/>
  <c r="AT52" i="6" s="1"/>
  <c r="AP52" i="6"/>
  <c r="AR53" i="6"/>
  <c r="AT53" i="6" s="1"/>
  <c r="AP53" i="6"/>
  <c r="AR78" i="6"/>
  <c r="AO123" i="6"/>
  <c r="AS123" i="6" s="1"/>
  <c r="AN123" i="6"/>
  <c r="AO127" i="6"/>
  <c r="AS127" i="6" s="1"/>
  <c r="AN127" i="6"/>
  <c r="AR126" i="6"/>
  <c r="AO126" i="6"/>
  <c r="AS126" i="6" s="1"/>
  <c r="AP33" i="6"/>
  <c r="AR33" i="6"/>
  <c r="AT33" i="6" s="1"/>
  <c r="AO82" i="6"/>
  <c r="AS82" i="6" s="1"/>
  <c r="AO116" i="6"/>
  <c r="AS116" i="6" s="1"/>
  <c r="AN132" i="6"/>
  <c r="AU3" i="6"/>
  <c r="AV3" i="6"/>
  <c r="AO133" i="6"/>
  <c r="AS133" i="6" s="1"/>
  <c r="AO24" i="6"/>
  <c r="AS24" i="6" s="1"/>
  <c r="AN24" i="6"/>
  <c r="AR26" i="6"/>
  <c r="AN37" i="6"/>
  <c r="AN68" i="6"/>
  <c r="AO68" i="6"/>
  <c r="AS68" i="6" s="1"/>
  <c r="AE107" i="6"/>
  <c r="AD107" i="6"/>
  <c r="AR125" i="6"/>
  <c r="AP42" i="6"/>
  <c r="AR42" i="6"/>
  <c r="AT42" i="6" s="1"/>
  <c r="AJ4" i="6"/>
  <c r="AK3" i="6"/>
  <c r="AK4" i="6"/>
  <c r="AD3" i="6"/>
  <c r="AJ3" i="6"/>
  <c r="AE3" i="6"/>
  <c r="AO6" i="6"/>
  <c r="AS6" i="6" s="1"/>
  <c r="AN6" i="6"/>
  <c r="AN65" i="6"/>
  <c r="AO70" i="6"/>
  <c r="AS70" i="6" s="1"/>
  <c r="AE87" i="6"/>
  <c r="AD87" i="6"/>
  <c r="AN73" i="6"/>
  <c r="AN102" i="6"/>
  <c r="AO102" i="6"/>
  <c r="AS102" i="6" s="1"/>
  <c r="AO137" i="6"/>
  <c r="AS137" i="6" s="1"/>
  <c r="AO125" i="6"/>
  <c r="AS125" i="6" s="1"/>
  <c r="AP19" i="6"/>
  <c r="AR19" i="6"/>
  <c r="AT19" i="6" s="1"/>
  <c r="AP75" i="6"/>
  <c r="AR75" i="6"/>
  <c r="AT75" i="6" s="1"/>
  <c r="AN139" i="6"/>
  <c r="AP130" i="6"/>
  <c r="AR130" i="6"/>
  <c r="AT130" i="6" s="1"/>
  <c r="N141" i="6"/>
  <c r="N125" i="6"/>
  <c r="N134" i="6"/>
  <c r="N140" i="6"/>
  <c r="N135" i="6"/>
  <c r="N108" i="6"/>
  <c r="N92" i="6"/>
  <c r="N122" i="6"/>
  <c r="N109" i="6"/>
  <c r="N115" i="6"/>
  <c r="N99" i="6"/>
  <c r="N93" i="6"/>
  <c r="N110" i="6"/>
  <c r="N114" i="6"/>
  <c r="N66" i="6"/>
  <c r="N50" i="6"/>
  <c r="N75" i="6"/>
  <c r="N90" i="6"/>
  <c r="N77" i="6"/>
  <c r="N94" i="6"/>
  <c r="N61" i="6"/>
  <c r="N42" i="6"/>
  <c r="N26" i="6"/>
  <c r="N68" i="6"/>
  <c r="N43" i="6"/>
  <c r="N76" i="6"/>
  <c r="N45" i="6"/>
  <c r="N44" i="6"/>
  <c r="N14" i="6"/>
  <c r="N40" i="6"/>
  <c r="N32" i="6"/>
  <c r="N11" i="6"/>
  <c r="N29" i="6"/>
  <c r="N33" i="6"/>
  <c r="N13" i="6"/>
  <c r="N12" i="6"/>
  <c r="N69" i="6"/>
  <c r="N35" i="6"/>
  <c r="N6" i="6"/>
  <c r="N5" i="6"/>
  <c r="N129" i="6"/>
  <c r="N138" i="6"/>
  <c r="N143" i="6"/>
  <c r="N128" i="6"/>
  <c r="N112" i="6"/>
  <c r="N96" i="6"/>
  <c r="N127" i="6"/>
  <c r="N113" i="6"/>
  <c r="N119" i="6"/>
  <c r="N101" i="6"/>
  <c r="N98" i="6"/>
  <c r="N118" i="6"/>
  <c r="N95" i="6"/>
  <c r="N70" i="6"/>
  <c r="N54" i="6"/>
  <c r="N79" i="6"/>
  <c r="N63" i="6"/>
  <c r="N81" i="6"/>
  <c r="N65" i="6"/>
  <c r="N64" i="6"/>
  <c r="N46" i="6"/>
  <c r="N30" i="6"/>
  <c r="N103" i="6"/>
  <c r="N49" i="6"/>
  <c r="N85" i="6"/>
  <c r="N48" i="6"/>
  <c r="N53" i="6"/>
  <c r="N21" i="6"/>
  <c r="N55" i="6"/>
  <c r="N4" i="6"/>
  <c r="N15" i="6"/>
  <c r="N60" i="6"/>
  <c r="N80" i="6"/>
  <c r="N17" i="6"/>
  <c r="N31" i="6"/>
  <c r="N133" i="6"/>
  <c r="N126" i="6"/>
  <c r="N116" i="6"/>
  <c r="N131" i="6"/>
  <c r="N139" i="6"/>
  <c r="N106" i="6"/>
  <c r="N97" i="6"/>
  <c r="N58" i="6"/>
  <c r="N67" i="6"/>
  <c r="N72" i="6"/>
  <c r="N34" i="6"/>
  <c r="N51" i="6"/>
  <c r="N37" i="6"/>
  <c r="N16" i="6"/>
  <c r="N8" i="6"/>
  <c r="N137" i="6"/>
  <c r="N121" i="6"/>
  <c r="N130" i="6"/>
  <c r="N136" i="6"/>
  <c r="N123" i="6"/>
  <c r="N104" i="6"/>
  <c r="N88" i="6"/>
  <c r="N120" i="6"/>
  <c r="N105" i="6"/>
  <c r="N111" i="6"/>
  <c r="N124" i="6"/>
  <c r="N91" i="6"/>
  <c r="N102" i="6"/>
  <c r="N78" i="6"/>
  <c r="N62" i="6"/>
  <c r="N89" i="6"/>
  <c r="N71" i="6"/>
  <c r="N84" i="6"/>
  <c r="N73" i="6"/>
  <c r="N86" i="6"/>
  <c r="N52" i="6"/>
  <c r="N38" i="6"/>
  <c r="N22" i="6"/>
  <c r="N56" i="6"/>
  <c r="N39" i="6"/>
  <c r="N59" i="6"/>
  <c r="N41" i="6"/>
  <c r="N28" i="6"/>
  <c r="N10" i="6"/>
  <c r="N36" i="6"/>
  <c r="N27" i="6"/>
  <c r="N7" i="6"/>
  <c r="N20" i="6"/>
  <c r="N24" i="6"/>
  <c r="N9" i="6"/>
  <c r="N142" i="6"/>
  <c r="N132" i="6"/>
  <c r="N100" i="6"/>
  <c r="N117" i="6"/>
  <c r="N107" i="6"/>
  <c r="N83" i="6"/>
  <c r="N74" i="6"/>
  <c r="N87" i="6"/>
  <c r="N82" i="6"/>
  <c r="N47" i="6"/>
  <c r="N18" i="6"/>
  <c r="N57" i="6"/>
  <c r="N23" i="6"/>
  <c r="N25" i="6"/>
  <c r="N19" i="6"/>
  <c r="AP100" i="6"/>
  <c r="AR100" i="6"/>
  <c r="AT100" i="6" s="1"/>
  <c r="AO66" i="6"/>
  <c r="AS66" i="6" s="1"/>
  <c r="AO46" i="6"/>
  <c r="AS46" i="6" s="1"/>
  <c r="AN49" i="6"/>
  <c r="AA120" i="6"/>
  <c r="Z132" i="6"/>
  <c r="AA103" i="6"/>
  <c r="Z109" i="6"/>
  <c r="Z102" i="6"/>
  <c r="Z89" i="6"/>
  <c r="AA85" i="6"/>
  <c r="Z54" i="6"/>
  <c r="AA66" i="6"/>
  <c r="Z72" i="6"/>
  <c r="AA33" i="6"/>
  <c r="AA46" i="6"/>
  <c r="AA44" i="6"/>
  <c r="AA17" i="6"/>
  <c r="AA27" i="6"/>
  <c r="AO92" i="6"/>
  <c r="AS92" i="6" s="1"/>
  <c r="AF34" i="6"/>
  <c r="AF59" i="6"/>
  <c r="AA141" i="6"/>
  <c r="AA138" i="6"/>
  <c r="Z96" i="6"/>
  <c r="AA104" i="6"/>
  <c r="Z95" i="6"/>
  <c r="AA82" i="6"/>
  <c r="AA81" i="6"/>
  <c r="AA49" i="6"/>
  <c r="AA92" i="6"/>
  <c r="AA60" i="6"/>
  <c r="Z26" i="6"/>
  <c r="Z39" i="6"/>
  <c r="Z37" i="6"/>
  <c r="Z10" i="6"/>
  <c r="AA52" i="6"/>
  <c r="Z64" i="6"/>
  <c r="Z9" i="6"/>
  <c r="AN57" i="6"/>
  <c r="AO95" i="6"/>
  <c r="AS95" i="6" s="1"/>
  <c r="AO132" i="6"/>
  <c r="AS132" i="6" s="1"/>
  <c r="AC10" i="6"/>
  <c r="AC13" i="6"/>
  <c r="AC46" i="6"/>
  <c r="AC31" i="6"/>
  <c r="AC76" i="6"/>
  <c r="AC100" i="6"/>
  <c r="AC119" i="6"/>
  <c r="AC93" i="6"/>
  <c r="AC139" i="6"/>
  <c r="AP93" i="6"/>
  <c r="U91" i="6"/>
  <c r="Z133" i="6"/>
  <c r="AA129" i="6"/>
  <c r="Z116" i="6"/>
  <c r="Z131" i="6"/>
  <c r="AA118" i="6"/>
  <c r="Z106" i="6"/>
  <c r="Z98" i="6"/>
  <c r="AA69" i="6"/>
  <c r="Z79" i="6"/>
  <c r="AA76" i="6"/>
  <c r="Z46" i="6"/>
  <c r="Z68" i="6"/>
  <c r="AA75" i="6"/>
  <c r="AA35" i="6"/>
  <c r="Z40" i="6"/>
  <c r="Z21" i="6"/>
  <c r="AA32" i="6"/>
  <c r="Z49" i="6"/>
  <c r="AN58" i="6"/>
  <c r="AO83" i="6"/>
  <c r="AS83" i="6" s="1"/>
  <c r="AN86" i="6"/>
  <c r="AN116" i="6"/>
  <c r="AN124" i="6"/>
  <c r="R4" i="6"/>
  <c r="R17" i="6"/>
  <c r="R7" i="6"/>
  <c r="R22" i="6"/>
  <c r="AF71" i="6"/>
  <c r="U22" i="6"/>
  <c r="Q37" i="6"/>
  <c r="Q65" i="6"/>
  <c r="AF113" i="6"/>
  <c r="Q119" i="6"/>
  <c r="AP34" i="6"/>
  <c r="AF52" i="6"/>
  <c r="Q49" i="6"/>
  <c r="AF134" i="6"/>
  <c r="AT114" i="6"/>
  <c r="I55" i="6"/>
  <c r="I87" i="6"/>
  <c r="I137" i="6"/>
  <c r="I25" i="6"/>
  <c r="I19" i="6"/>
  <c r="I43" i="6"/>
  <c r="I80" i="6"/>
  <c r="I90" i="6"/>
  <c r="I114" i="6"/>
  <c r="I119" i="6"/>
  <c r="I116" i="6"/>
  <c r="I141" i="6"/>
  <c r="I37" i="6"/>
  <c r="I98" i="6"/>
  <c r="I5" i="6"/>
  <c r="I8" i="6"/>
  <c r="I53" i="6"/>
  <c r="I38" i="6"/>
  <c r="I139" i="6"/>
  <c r="I84" i="6"/>
  <c r="I102" i="6"/>
  <c r="I92" i="6"/>
  <c r="I142" i="6"/>
  <c r="I36" i="6"/>
  <c r="I63" i="6"/>
  <c r="I131" i="6"/>
  <c r="I17" i="6"/>
  <c r="I45" i="6"/>
  <c r="I34" i="6"/>
  <c r="I118" i="6"/>
  <c r="I82" i="6"/>
  <c r="I97" i="6"/>
  <c r="I88" i="6"/>
  <c r="F35" i="7" l="1"/>
  <c r="G35" i="7" s="1"/>
  <c r="F33" i="7"/>
  <c r="G33" i="7" s="1"/>
  <c r="F43" i="7"/>
  <c r="G43" i="7" s="1"/>
  <c r="R27" i="7" s="1"/>
  <c r="T27" i="7" s="1"/>
  <c r="R22" i="7"/>
  <c r="T22" i="7" s="1"/>
  <c r="AC114" i="6"/>
  <c r="AC20" i="6"/>
  <c r="AP54" i="6"/>
  <c r="AR54" i="6"/>
  <c r="AT54" i="6" s="1"/>
  <c r="R40" i="6"/>
  <c r="R25" i="6"/>
  <c r="AC141" i="6"/>
  <c r="AC124" i="6"/>
  <c r="AC94" i="6"/>
  <c r="AC75" i="6"/>
  <c r="AC78" i="6"/>
  <c r="AC77" i="6"/>
  <c r="AC34" i="6"/>
  <c r="AC29" i="6"/>
  <c r="R27" i="6"/>
  <c r="AC122" i="6"/>
  <c r="AC97" i="6"/>
  <c r="AC121" i="6"/>
  <c r="AC90" i="6"/>
  <c r="AC80" i="6"/>
  <c r="AC35" i="6"/>
  <c r="AC52" i="6"/>
  <c r="AC37" i="6"/>
  <c r="AC14" i="6"/>
  <c r="R28" i="6"/>
  <c r="AT108" i="6"/>
  <c r="AP55" i="6"/>
  <c r="R24" i="6"/>
  <c r="AC131" i="6"/>
  <c r="AC103" i="6"/>
  <c r="AC68" i="6"/>
  <c r="AC38" i="6"/>
  <c r="AT74" i="6"/>
  <c r="AF121" i="6"/>
  <c r="AP81" i="6"/>
  <c r="V5" i="6"/>
  <c r="V16" i="6"/>
  <c r="AT96" i="6"/>
  <c r="AR43" i="6"/>
  <c r="AT43" i="6" s="1"/>
  <c r="AP43" i="6"/>
  <c r="AR15" i="6"/>
  <c r="AT15" i="6" s="1"/>
  <c r="AP15" i="6"/>
  <c r="AC60" i="6"/>
  <c r="V139" i="6"/>
  <c r="R29" i="6"/>
  <c r="AC128" i="6"/>
  <c r="AC106" i="6"/>
  <c r="AC95" i="6"/>
  <c r="AC59" i="6"/>
  <c r="AC65" i="6"/>
  <c r="AC44" i="6"/>
  <c r="AC15" i="6"/>
  <c r="AC12" i="6"/>
  <c r="R21" i="6"/>
  <c r="AC127" i="6"/>
  <c r="AC125" i="6"/>
  <c r="AC96" i="6"/>
  <c r="AC79" i="6"/>
  <c r="AC64" i="6"/>
  <c r="AC19" i="6"/>
  <c r="AC48" i="6"/>
  <c r="AC16" i="6"/>
  <c r="AP108" i="6"/>
  <c r="AT55" i="6"/>
  <c r="AC133" i="6"/>
  <c r="AC104" i="6"/>
  <c r="AC70" i="6"/>
  <c r="AC25" i="6"/>
  <c r="AC21" i="6"/>
  <c r="AT81" i="6"/>
  <c r="AP122" i="6"/>
  <c r="AT92" i="6"/>
  <c r="V12" i="6"/>
  <c r="V15" i="6"/>
  <c r="AP96" i="6"/>
  <c r="AP137" i="6"/>
  <c r="AC67" i="6"/>
  <c r="AT82" i="6"/>
  <c r="AC134" i="6"/>
  <c r="AC109" i="6"/>
  <c r="AC116" i="6"/>
  <c r="AC107" i="6"/>
  <c r="AC91" i="6"/>
  <c r="AC49" i="6"/>
  <c r="AC81" i="6"/>
  <c r="AC57" i="6"/>
  <c r="AC30" i="6"/>
  <c r="R42" i="6"/>
  <c r="R31" i="6"/>
  <c r="R33" i="6"/>
  <c r="AC129" i="6"/>
  <c r="AC110" i="6"/>
  <c r="AC102" i="6"/>
  <c r="AC63" i="6"/>
  <c r="AC66" i="6"/>
  <c r="AC53" i="6"/>
  <c r="AC18" i="6"/>
  <c r="AC5" i="6"/>
  <c r="R32" i="6"/>
  <c r="AC136" i="6"/>
  <c r="AC83" i="6"/>
  <c r="AC23" i="6"/>
  <c r="AC45" i="6"/>
  <c r="AT66" i="6"/>
  <c r="AP7" i="6"/>
  <c r="AR7" i="6"/>
  <c r="AT7" i="6" s="1"/>
  <c r="AF124" i="6"/>
  <c r="AF86" i="6"/>
  <c r="R43" i="6"/>
  <c r="R35" i="6"/>
  <c r="AF57" i="6"/>
  <c r="V21" i="6"/>
  <c r="R45" i="6"/>
  <c r="R39" i="6"/>
  <c r="AF119" i="6"/>
  <c r="R46" i="6"/>
  <c r="R67" i="6"/>
  <c r="V137" i="6"/>
  <c r="V121" i="6"/>
  <c r="AF58" i="6"/>
  <c r="V19" i="6"/>
  <c r="AR124" i="6"/>
  <c r="AT124" i="6" s="1"/>
  <c r="AP124" i="6"/>
  <c r="AP58" i="6"/>
  <c r="AR58" i="6"/>
  <c r="AT58" i="6" s="1"/>
  <c r="AD46" i="6"/>
  <c r="AE46" i="6"/>
  <c r="AE139" i="6"/>
  <c r="AD139" i="6"/>
  <c r="AD137" i="6"/>
  <c r="AE137" i="6"/>
  <c r="AR73" i="6"/>
  <c r="AT73" i="6" s="1"/>
  <c r="AP73" i="6"/>
  <c r="AP6" i="6"/>
  <c r="AR6" i="6"/>
  <c r="AT6" i="6" s="1"/>
  <c r="AR37" i="6"/>
  <c r="AT37" i="6" s="1"/>
  <c r="AP37" i="6"/>
  <c r="AD133" i="6"/>
  <c r="AE133" i="6"/>
  <c r="AE82" i="6"/>
  <c r="AD82" i="6"/>
  <c r="AD123" i="6"/>
  <c r="AE123" i="6"/>
  <c r="AP89" i="6"/>
  <c r="AR89" i="6"/>
  <c r="AT89" i="6" s="1"/>
  <c r="AP38" i="6"/>
  <c r="AR38" i="6"/>
  <c r="AT38" i="6" s="1"/>
  <c r="AR56" i="6"/>
  <c r="AT56" i="6" s="1"/>
  <c r="AP56" i="6"/>
  <c r="AE95" i="6"/>
  <c r="AD95" i="6"/>
  <c r="AP103" i="6"/>
  <c r="AR103" i="6"/>
  <c r="AT103" i="6" s="1"/>
  <c r="AR101" i="6"/>
  <c r="AT101" i="6" s="1"/>
  <c r="AP101" i="6"/>
  <c r="AR36" i="6"/>
  <c r="AT36" i="6" s="1"/>
  <c r="AP36" i="6"/>
  <c r="AE120" i="6"/>
  <c r="AD120" i="6"/>
  <c r="AR77" i="6"/>
  <c r="AT77" i="6" s="1"/>
  <c r="AP77" i="6"/>
  <c r="AE76" i="6"/>
  <c r="AD76" i="6"/>
  <c r="AE102" i="6"/>
  <c r="AD102" i="6"/>
  <c r="AE65" i="6"/>
  <c r="AD65" i="6"/>
  <c r="AE68" i="6"/>
  <c r="AD68" i="6"/>
  <c r="AR115" i="6"/>
  <c r="AT115" i="6" s="1"/>
  <c r="AP115" i="6"/>
  <c r="AR51" i="6"/>
  <c r="AT51" i="6" s="1"/>
  <c r="AP51" i="6"/>
  <c r="AR16" i="6"/>
  <c r="AT16" i="6" s="1"/>
  <c r="AP16" i="6"/>
  <c r="AP138" i="6"/>
  <c r="AR138" i="6"/>
  <c r="AT138" i="6" s="1"/>
  <c r="AE9" i="6"/>
  <c r="AD9" i="6"/>
  <c r="AR90" i="6"/>
  <c r="AT90" i="6" s="1"/>
  <c r="AP90" i="6"/>
  <c r="AP95" i="6"/>
  <c r="AR95" i="6"/>
  <c r="AT95" i="6" s="1"/>
  <c r="AP14" i="6"/>
  <c r="AR14" i="6"/>
  <c r="AT14" i="6" s="1"/>
  <c r="AE128" i="6"/>
  <c r="AD128" i="6"/>
  <c r="AR8" i="6"/>
  <c r="AT8" i="6" s="1"/>
  <c r="AP8" i="6"/>
  <c r="AP88" i="6"/>
  <c r="AR88" i="6"/>
  <c r="AT88" i="6" s="1"/>
  <c r="AD42" i="6"/>
  <c r="AE42" i="6"/>
  <c r="AD122" i="6"/>
  <c r="AE122" i="6"/>
  <c r="AE41" i="6"/>
  <c r="AD41" i="6"/>
  <c r="AR25" i="6"/>
  <c r="AT25" i="6" s="1"/>
  <c r="AP25" i="6"/>
  <c r="AE55" i="6"/>
  <c r="AD55" i="6"/>
  <c r="AE40" i="6"/>
  <c r="AD40" i="6"/>
  <c r="AE91" i="6"/>
  <c r="AD91" i="6"/>
  <c r="AR76" i="6"/>
  <c r="AT76" i="6" s="1"/>
  <c r="AP76" i="6"/>
  <c r="AR131" i="6"/>
  <c r="AT131" i="6" s="1"/>
  <c r="AP131" i="6"/>
  <c r="AR86" i="6"/>
  <c r="AT86" i="6" s="1"/>
  <c r="AP86" i="6"/>
  <c r="AE49" i="6"/>
  <c r="AD49" i="6"/>
  <c r="AD66" i="6"/>
  <c r="AE66" i="6"/>
  <c r="AD125" i="6"/>
  <c r="AE125" i="6"/>
  <c r="AR102" i="6"/>
  <c r="AT102" i="6" s="1"/>
  <c r="AP102" i="6"/>
  <c r="AR65" i="6"/>
  <c r="AT65" i="6" s="1"/>
  <c r="AP65" i="6"/>
  <c r="AD6" i="6"/>
  <c r="AE6" i="6"/>
  <c r="AR68" i="6"/>
  <c r="AT68" i="6" s="1"/>
  <c r="AP68" i="6"/>
  <c r="AE24" i="6"/>
  <c r="AD24" i="6"/>
  <c r="AD116" i="6"/>
  <c r="AE116" i="6"/>
  <c r="AR123" i="6"/>
  <c r="AT123" i="6" s="1"/>
  <c r="AP123" i="6"/>
  <c r="AP63" i="6"/>
  <c r="AR63" i="6"/>
  <c r="AT63" i="6" s="1"/>
  <c r="AR85" i="6"/>
  <c r="AT85" i="6" s="1"/>
  <c r="AP85" i="6"/>
  <c r="AR99" i="6"/>
  <c r="AT99" i="6" s="1"/>
  <c r="AP99" i="6"/>
  <c r="AD28" i="6"/>
  <c r="AE28" i="6"/>
  <c r="AD108" i="6"/>
  <c r="AE108" i="6"/>
  <c r="AR9" i="6"/>
  <c r="AT9" i="6" s="1"/>
  <c r="AP9" i="6"/>
  <c r="AE60" i="6"/>
  <c r="AD60" i="6"/>
  <c r="AE118" i="6"/>
  <c r="AD118" i="6"/>
  <c r="AN5" i="6"/>
  <c r="AO5" i="6"/>
  <c r="AS5" i="6" s="1"/>
  <c r="AC143" i="6"/>
  <c r="AC135" i="6"/>
  <c r="AC89" i="6"/>
  <c r="AC115" i="6"/>
  <c r="AC71" i="6"/>
  <c r="AC43" i="6"/>
  <c r="AC32" i="6"/>
  <c r="AC73" i="6"/>
  <c r="AC130" i="6"/>
  <c r="AC137" i="6"/>
  <c r="AC120" i="6"/>
  <c r="AC105" i="6"/>
  <c r="AC118" i="6"/>
  <c r="AC140" i="6"/>
  <c r="AC112" i="6"/>
  <c r="AC111" i="6"/>
  <c r="AC88" i="6"/>
  <c r="AC99" i="6"/>
  <c r="AC98" i="6"/>
  <c r="AC55" i="6"/>
  <c r="AC87" i="6"/>
  <c r="AC72" i="6"/>
  <c r="AC74" i="6"/>
  <c r="AC62" i="6"/>
  <c r="AC27" i="6"/>
  <c r="AC61" i="6"/>
  <c r="AC40" i="6"/>
  <c r="AC69" i="6"/>
  <c r="AC42" i="6"/>
  <c r="AC11" i="6"/>
  <c r="AC33" i="6"/>
  <c r="AC9" i="6"/>
  <c r="AC22" i="6"/>
  <c r="AC8" i="6"/>
  <c r="AC28" i="6"/>
  <c r="AC6" i="6"/>
  <c r="AD38" i="6"/>
  <c r="AE38" i="6"/>
  <c r="AD129" i="6"/>
  <c r="AE129" i="6"/>
  <c r="AD96" i="6"/>
  <c r="AE96" i="6"/>
  <c r="AR128" i="6"/>
  <c r="AT128" i="6" s="1"/>
  <c r="AP128" i="6"/>
  <c r="AR119" i="6"/>
  <c r="AT119" i="6" s="1"/>
  <c r="AP119" i="6"/>
  <c r="AD105" i="6"/>
  <c r="AE105" i="6"/>
  <c r="AR69" i="6"/>
  <c r="AT69" i="6" s="1"/>
  <c r="AP69" i="6"/>
  <c r="AR41" i="6"/>
  <c r="AT41" i="6" s="1"/>
  <c r="AP41" i="6"/>
  <c r="AE36" i="6"/>
  <c r="AD36" i="6"/>
  <c r="AR40" i="6"/>
  <c r="AT40" i="6" s="1"/>
  <c r="AP40" i="6"/>
  <c r="AR48" i="6"/>
  <c r="AT48" i="6" s="1"/>
  <c r="AP48" i="6"/>
  <c r="AE110" i="6"/>
  <c r="AD110" i="6"/>
  <c r="AR91" i="6"/>
  <c r="AT91" i="6" s="1"/>
  <c r="AP91" i="6"/>
  <c r="R139" i="6"/>
  <c r="R83" i="6"/>
  <c r="R51" i="6"/>
  <c r="R116" i="6"/>
  <c r="R99" i="6"/>
  <c r="R122" i="6"/>
  <c r="R78" i="6"/>
  <c r="R120" i="6"/>
  <c r="R101" i="6"/>
  <c r="R84" i="6"/>
  <c r="R91" i="6"/>
  <c r="AT70" i="6"/>
  <c r="AT18" i="6"/>
  <c r="R141" i="6"/>
  <c r="V53" i="6"/>
  <c r="V97" i="6"/>
  <c r="V108" i="6"/>
  <c r="V57" i="6"/>
  <c r="V95" i="6"/>
  <c r="V105" i="6"/>
  <c r="V30" i="6"/>
  <c r="V66" i="6"/>
  <c r="V88" i="6"/>
  <c r="V138" i="6"/>
  <c r="V61" i="6"/>
  <c r="V71" i="6"/>
  <c r="V107" i="6"/>
  <c r="V100" i="6"/>
  <c r="R140" i="6"/>
  <c r="R102" i="6"/>
  <c r="R65" i="6"/>
  <c r="R57" i="6"/>
  <c r="R128" i="6"/>
  <c r="R86" i="6"/>
  <c r="R56" i="6"/>
  <c r="R117" i="6"/>
  <c r="R49" i="6"/>
  <c r="AT137" i="6"/>
  <c r="AF115" i="6"/>
  <c r="AP104" i="6"/>
  <c r="R113" i="6"/>
  <c r="R79" i="6"/>
  <c r="R53" i="6"/>
  <c r="AP22" i="6"/>
  <c r="V24" i="6"/>
  <c r="V34" i="6"/>
  <c r="V70" i="6"/>
  <c r="V142" i="6"/>
  <c r="V55" i="6"/>
  <c r="V94" i="6"/>
  <c r="V112" i="6"/>
  <c r="V47" i="6"/>
  <c r="V76" i="6"/>
  <c r="V50" i="6"/>
  <c r="V140" i="6"/>
  <c r="V26" i="6"/>
  <c r="V98" i="6"/>
  <c r="V134" i="6"/>
  <c r="AP133" i="6"/>
  <c r="R138" i="6"/>
  <c r="R96" i="6"/>
  <c r="R110" i="6"/>
  <c r="R66" i="6"/>
  <c r="R81" i="6"/>
  <c r="R41" i="6"/>
  <c r="R48" i="6"/>
  <c r="AF87" i="6"/>
  <c r="AP125" i="6"/>
  <c r="AT26" i="6"/>
  <c r="AP126" i="6"/>
  <c r="AP78" i="6"/>
  <c r="R126" i="6"/>
  <c r="R135" i="6"/>
  <c r="R114" i="6"/>
  <c r="R54" i="6"/>
  <c r="R69" i="6"/>
  <c r="R72" i="6"/>
  <c r="R64" i="6"/>
  <c r="R125" i="6"/>
  <c r="R92" i="6"/>
  <c r="R103" i="6"/>
  <c r="R77" i="6"/>
  <c r="AF53" i="6"/>
  <c r="AF88" i="6"/>
  <c r="AT104" i="6"/>
  <c r="R130" i="6"/>
  <c r="R88" i="6"/>
  <c r="R94" i="6"/>
  <c r="R58" i="6"/>
  <c r="R73" i="6"/>
  <c r="R82" i="6"/>
  <c r="R68" i="6"/>
  <c r="AC126" i="6"/>
  <c r="AC101" i="6"/>
  <c r="AC108" i="6"/>
  <c r="AC92" i="6"/>
  <c r="AC85" i="6"/>
  <c r="AC39" i="6"/>
  <c r="AC54" i="6"/>
  <c r="AC24" i="6"/>
  <c r="AC50" i="6"/>
  <c r="R62" i="6"/>
  <c r="R34" i="6"/>
  <c r="R36" i="6"/>
  <c r="AT46" i="6"/>
  <c r="AT22" i="6"/>
  <c r="AF140" i="6"/>
  <c r="AF103" i="6"/>
  <c r="AF81" i="6"/>
  <c r="AF29" i="6"/>
  <c r="AP112" i="6"/>
  <c r="AF136" i="6"/>
  <c r="AP129" i="6"/>
  <c r="V23" i="6"/>
  <c r="V7" i="6"/>
  <c r="V40" i="6"/>
  <c r="V18" i="6"/>
  <c r="V77" i="6"/>
  <c r="V54" i="6"/>
  <c r="V91" i="6"/>
  <c r="V117" i="6"/>
  <c r="V126" i="6"/>
  <c r="V9" i="6"/>
  <c r="V33" i="6"/>
  <c r="V51" i="6"/>
  <c r="V38" i="6"/>
  <c r="V67" i="6"/>
  <c r="V74" i="6"/>
  <c r="V135" i="6"/>
  <c r="V96" i="6"/>
  <c r="V143" i="6"/>
  <c r="V17" i="6"/>
  <c r="V10" i="6"/>
  <c r="V43" i="6"/>
  <c r="V64" i="6"/>
  <c r="V87" i="6"/>
  <c r="V114" i="6"/>
  <c r="V122" i="6"/>
  <c r="V124" i="6"/>
  <c r="V141" i="6"/>
  <c r="V44" i="6"/>
  <c r="V29" i="6"/>
  <c r="V59" i="6"/>
  <c r="V69" i="6"/>
  <c r="V118" i="6"/>
  <c r="V99" i="6"/>
  <c r="V109" i="6"/>
  <c r="V136" i="6"/>
  <c r="AT133" i="6"/>
  <c r="R143" i="6"/>
  <c r="AR24" i="6"/>
  <c r="AT24" i="6" s="1"/>
  <c r="AP24" i="6"/>
  <c r="AE132" i="6"/>
  <c r="AD132" i="6"/>
  <c r="AD126" i="6"/>
  <c r="AE126" i="6"/>
  <c r="AP50" i="6"/>
  <c r="AR50" i="6"/>
  <c r="AT50" i="6" s="1"/>
  <c r="AP83" i="6"/>
  <c r="AR83" i="6"/>
  <c r="AT83" i="6" s="1"/>
  <c r="AR21" i="6"/>
  <c r="AT21" i="6" s="1"/>
  <c r="AP21" i="6"/>
  <c r="AD16" i="6"/>
  <c r="AE16" i="6"/>
  <c r="AD138" i="6"/>
  <c r="AE138" i="6"/>
  <c r="AE89" i="6"/>
  <c r="AD89" i="6"/>
  <c r="AD90" i="6"/>
  <c r="AE90" i="6"/>
  <c r="AR4" i="6"/>
  <c r="AT4" i="6" s="1"/>
  <c r="AP4" i="6"/>
  <c r="AD10" i="6"/>
  <c r="AE10" i="6"/>
  <c r="AD8" i="6"/>
  <c r="AE8" i="6"/>
  <c r="AR20" i="6"/>
  <c r="AT20" i="6" s="1"/>
  <c r="AP20" i="6"/>
  <c r="AR61" i="6"/>
  <c r="AT61" i="6" s="1"/>
  <c r="AP61" i="6"/>
  <c r="AE25" i="6"/>
  <c r="AD25" i="6"/>
  <c r="AE48" i="6"/>
  <c r="AD48" i="6"/>
  <c r="AE32" i="6"/>
  <c r="AD32" i="6"/>
  <c r="AR139" i="6"/>
  <c r="AT139" i="6" s="1"/>
  <c r="AP139" i="6"/>
  <c r="AR132" i="6"/>
  <c r="AT132" i="6" s="1"/>
  <c r="AP132" i="6"/>
  <c r="AR127" i="6"/>
  <c r="AT127" i="6" s="1"/>
  <c r="AP127" i="6"/>
  <c r="AE85" i="6"/>
  <c r="AD85" i="6"/>
  <c r="AE99" i="6"/>
  <c r="AD99" i="6"/>
  <c r="AD74" i="6"/>
  <c r="AE74" i="6"/>
  <c r="AR31" i="6"/>
  <c r="AT31" i="6" s="1"/>
  <c r="AP31" i="6"/>
  <c r="AR98" i="6"/>
  <c r="AT98" i="6" s="1"/>
  <c r="AP98" i="6"/>
  <c r="AP10" i="6"/>
  <c r="AR10" i="6"/>
  <c r="AT10" i="6" s="1"/>
  <c r="AE69" i="6"/>
  <c r="AD69" i="6"/>
  <c r="AD51" i="6"/>
  <c r="AE51" i="6"/>
  <c r="AR120" i="6"/>
  <c r="AT120" i="6" s="1"/>
  <c r="AP120" i="6"/>
  <c r="AE94" i="6"/>
  <c r="AD94" i="6"/>
  <c r="AR64" i="6"/>
  <c r="AT64" i="6" s="1"/>
  <c r="AP64" i="6"/>
  <c r="AR32" i="6"/>
  <c r="AT32" i="6" s="1"/>
  <c r="AP32" i="6"/>
  <c r="AP116" i="6"/>
  <c r="AR116" i="6"/>
  <c r="AT116" i="6" s="1"/>
  <c r="AP57" i="6"/>
  <c r="AR57" i="6"/>
  <c r="AT57" i="6" s="1"/>
  <c r="AR49" i="6"/>
  <c r="AT49" i="6" s="1"/>
  <c r="AP49" i="6"/>
  <c r="AE73" i="6"/>
  <c r="AD73" i="6"/>
  <c r="AD70" i="6"/>
  <c r="AE70" i="6"/>
  <c r="AE37" i="6"/>
  <c r="AD37" i="6"/>
  <c r="AD127" i="6"/>
  <c r="AE127" i="6"/>
  <c r="AP87" i="6"/>
  <c r="AR87" i="6"/>
  <c r="AT87" i="6" s="1"/>
  <c r="AP141" i="6"/>
  <c r="AR141" i="6"/>
  <c r="AT141" i="6" s="1"/>
  <c r="AE21" i="6"/>
  <c r="AD21" i="6"/>
  <c r="AD56" i="6"/>
  <c r="AE56" i="6"/>
  <c r="AD112" i="6"/>
  <c r="AE112" i="6"/>
  <c r="AD22" i="6"/>
  <c r="AE22" i="6"/>
  <c r="AR28" i="6"/>
  <c r="AT28" i="6" s="1"/>
  <c r="AP28" i="6"/>
  <c r="AD31" i="6"/>
  <c r="AE31" i="6"/>
  <c r="AD50" i="6"/>
  <c r="AE50" i="6"/>
  <c r="AR60" i="6"/>
  <c r="AT60" i="6" s="1"/>
  <c r="AP60" i="6"/>
  <c r="AR118" i="6"/>
  <c r="AT118" i="6" s="1"/>
  <c r="AP118" i="6"/>
  <c r="AD98" i="6"/>
  <c r="AE98" i="6"/>
  <c r="AD4" i="6"/>
  <c r="AE4" i="6"/>
  <c r="AD141" i="6"/>
  <c r="AE141" i="6"/>
  <c r="AD14" i="6"/>
  <c r="AE14" i="6"/>
  <c r="AR136" i="6"/>
  <c r="AT136" i="6" s="1"/>
  <c r="AP136" i="6"/>
  <c r="AD101" i="6"/>
  <c r="AE101" i="6"/>
  <c r="AD62" i="6"/>
  <c r="AE62" i="6"/>
  <c r="AE20" i="6"/>
  <c r="AD20" i="6"/>
  <c r="AE13" i="6"/>
  <c r="AD13" i="6"/>
  <c r="AE61" i="6"/>
  <c r="AD61" i="6"/>
  <c r="AD78" i="6"/>
  <c r="AE78" i="6"/>
  <c r="AD26" i="6"/>
  <c r="AE26" i="6"/>
  <c r="AR94" i="6"/>
  <c r="AT94" i="6" s="1"/>
  <c r="AP94" i="6"/>
  <c r="AD104" i="6"/>
  <c r="AE104" i="6"/>
  <c r="AE77" i="6"/>
  <c r="AD77" i="6"/>
  <c r="AR110" i="6"/>
  <c r="AT110" i="6" s="1"/>
  <c r="AP110" i="6"/>
  <c r="AE64" i="6"/>
  <c r="AD64" i="6"/>
  <c r="AD63" i="6"/>
  <c r="AE63" i="6"/>
  <c r="AE131" i="6"/>
  <c r="AD131" i="6"/>
  <c r="R105" i="6"/>
  <c r="R71" i="6"/>
  <c r="R133" i="6"/>
  <c r="R119" i="6"/>
  <c r="R131" i="6"/>
  <c r="R80" i="6"/>
  <c r="R127" i="6"/>
  <c r="R137" i="6"/>
  <c r="R123" i="6"/>
  <c r="R63" i="6"/>
  <c r="R136" i="6"/>
  <c r="R55" i="6"/>
  <c r="AP62" i="6"/>
  <c r="V25" i="6"/>
  <c r="V110" i="6"/>
  <c r="V79" i="6"/>
  <c r="V115" i="6"/>
  <c r="V129" i="6"/>
  <c r="V65" i="6"/>
  <c r="V90" i="6"/>
  <c r="V132" i="6"/>
  <c r="V45" i="6"/>
  <c r="V102" i="6"/>
  <c r="V106" i="6"/>
  <c r="V56" i="6"/>
  <c r="V42" i="6"/>
  <c r="V78" i="6"/>
  <c r="R124" i="6"/>
  <c r="R50" i="6"/>
  <c r="R60" i="6"/>
  <c r="AF107" i="6"/>
  <c r="AP26" i="6"/>
  <c r="R109" i="6"/>
  <c r="R75" i="6"/>
  <c r="R134" i="6"/>
  <c r="R97" i="6"/>
  <c r="AP13" i="6"/>
  <c r="AF33" i="6"/>
  <c r="R132" i="6"/>
  <c r="R95" i="6"/>
  <c r="R76" i="6"/>
  <c r="AP46" i="6"/>
  <c r="AT62" i="6"/>
  <c r="V49" i="6"/>
  <c r="V63" i="6"/>
  <c r="V123" i="6"/>
  <c r="V92" i="6"/>
  <c r="V27" i="6"/>
  <c r="V35" i="6"/>
  <c r="V82" i="6"/>
  <c r="V119" i="6"/>
  <c r="V133" i="6"/>
  <c r="V31" i="6"/>
  <c r="V73" i="6"/>
  <c r="V101" i="6"/>
  <c r="V113" i="6"/>
  <c r="V36" i="6"/>
  <c r="V41" i="6"/>
  <c r="V86" i="6"/>
  <c r="V62" i="6"/>
  <c r="R129" i="6"/>
  <c r="R112" i="6"/>
  <c r="R115" i="6"/>
  <c r="R90" i="6"/>
  <c r="R93" i="6"/>
  <c r="R38" i="6"/>
  <c r="R61" i="6"/>
  <c r="R59" i="6"/>
  <c r="AF3" i="6"/>
  <c r="AT125" i="6"/>
  <c r="AT126" i="6"/>
  <c r="AT78" i="6"/>
  <c r="R142" i="6"/>
  <c r="R100" i="6"/>
  <c r="R118" i="6"/>
  <c r="R70" i="6"/>
  <c r="R87" i="6"/>
  <c r="R108" i="6"/>
  <c r="R111" i="6"/>
  <c r="R85" i="6"/>
  <c r="R37" i="6"/>
  <c r="AF100" i="6"/>
  <c r="AF92" i="6"/>
  <c r="R121" i="6"/>
  <c r="R104" i="6"/>
  <c r="R107" i="6"/>
  <c r="R74" i="6"/>
  <c r="R89" i="6"/>
  <c r="R30" i="6"/>
  <c r="R47" i="6"/>
  <c r="R44" i="6"/>
  <c r="AC117" i="6"/>
  <c r="AC132" i="6"/>
  <c r="AC86" i="6"/>
  <c r="AC51" i="6"/>
  <c r="AC58" i="6"/>
  <c r="AC36" i="6"/>
  <c r="AC7" i="6"/>
  <c r="R106" i="6"/>
  <c r="R98" i="6"/>
  <c r="R52" i="6"/>
  <c r="AP74" i="6"/>
  <c r="AP66" i="6"/>
  <c r="AP70" i="6"/>
  <c r="AT112" i="6"/>
  <c r="AP18" i="6"/>
  <c r="AT122" i="6"/>
  <c r="AT129" i="6"/>
  <c r="AP92" i="6"/>
  <c r="AC142" i="6"/>
  <c r="V52" i="6"/>
  <c r="V14" i="6"/>
  <c r="V48" i="6"/>
  <c r="V80" i="6"/>
  <c r="V89" i="6"/>
  <c r="V83" i="6"/>
  <c r="V131" i="6"/>
  <c r="V128" i="6"/>
  <c r="V28" i="6"/>
  <c r="V11" i="6"/>
  <c r="V37" i="6"/>
  <c r="V22" i="6"/>
  <c r="V81" i="6"/>
  <c r="V58" i="6"/>
  <c r="V93" i="6"/>
  <c r="V127" i="6"/>
  <c r="V130" i="6"/>
  <c r="V72" i="6"/>
  <c r="V8" i="6"/>
  <c r="V68" i="6"/>
  <c r="V46" i="6"/>
  <c r="V75" i="6"/>
  <c r="V85" i="6"/>
  <c r="V111" i="6"/>
  <c r="V104" i="6"/>
  <c r="V125" i="6"/>
  <c r="V32" i="6"/>
  <c r="V6" i="6"/>
  <c r="V39" i="6"/>
  <c r="V60" i="6"/>
  <c r="V84" i="6"/>
  <c r="V103" i="6"/>
  <c r="V120" i="6"/>
  <c r="V116" i="6"/>
  <c r="AP82" i="6"/>
  <c r="I48" i="7" l="1"/>
  <c r="I52" i="7" s="1"/>
  <c r="I54" i="7"/>
  <c r="I55" i="7" s="1"/>
  <c r="T30" i="7"/>
  <c r="T31" i="7" s="1"/>
  <c r="I56" i="7" s="1"/>
  <c r="AF108" i="6"/>
  <c r="AF116" i="6"/>
  <c r="AF125" i="6"/>
  <c r="AF42" i="6"/>
  <c r="AF61" i="6"/>
  <c r="AF37" i="6"/>
  <c r="AF94" i="6"/>
  <c r="AF99" i="6"/>
  <c r="AF36" i="6"/>
  <c r="AF20" i="6"/>
  <c r="AF21" i="6"/>
  <c r="AF73" i="6"/>
  <c r="AF48" i="6"/>
  <c r="AF89" i="6"/>
  <c r="AF60" i="6"/>
  <c r="AF49" i="6"/>
  <c r="AF91" i="6"/>
  <c r="AF41" i="6"/>
  <c r="AF82" i="6"/>
  <c r="AF131" i="6"/>
  <c r="AF64" i="6"/>
  <c r="AF77" i="6"/>
  <c r="AF13" i="6"/>
  <c r="AF69" i="6"/>
  <c r="AF85" i="6"/>
  <c r="AF32" i="6"/>
  <c r="AF25" i="6"/>
  <c r="AF132" i="6"/>
  <c r="AF110" i="6"/>
  <c r="AF28" i="6"/>
  <c r="AF6" i="6"/>
  <c r="AF66" i="6"/>
  <c r="AF122" i="6"/>
  <c r="AF123" i="6"/>
  <c r="AF133" i="6"/>
  <c r="AF137" i="6"/>
  <c r="AF46" i="6"/>
  <c r="AF55" i="6"/>
  <c r="AF68" i="6"/>
  <c r="AF139" i="6"/>
  <c r="AG3" i="6"/>
  <c r="AH3" i="6"/>
  <c r="AU112" i="6"/>
  <c r="AV60" i="6"/>
  <c r="AV70" i="6"/>
  <c r="AU6" i="6"/>
  <c r="AU108" i="6"/>
  <c r="AV83" i="6"/>
  <c r="AU142" i="6"/>
  <c r="AU80" i="6"/>
  <c r="AU27" i="6"/>
  <c r="AV107" i="6"/>
  <c r="AU53" i="6"/>
  <c r="AV59" i="6"/>
  <c r="AU56" i="6"/>
  <c r="AU97" i="6"/>
  <c r="AV39" i="6"/>
  <c r="AV4" i="6"/>
  <c r="AU4" i="6"/>
  <c r="AV134" i="6"/>
  <c r="AU59" i="6"/>
  <c r="AF63" i="6"/>
  <c r="AF104" i="6"/>
  <c r="AF26" i="6"/>
  <c r="AF101" i="6"/>
  <c r="AF14" i="6"/>
  <c r="AF4" i="6"/>
  <c r="AF50" i="6"/>
  <c r="AF112" i="6"/>
  <c r="AF51" i="6"/>
  <c r="AF8" i="6"/>
  <c r="AF16" i="6"/>
  <c r="AF126" i="6"/>
  <c r="AF96" i="6"/>
  <c r="AF38" i="6"/>
  <c r="AF118" i="6"/>
  <c r="AF24" i="6"/>
  <c r="AF40" i="6"/>
  <c r="AF128" i="6"/>
  <c r="AF9" i="6"/>
  <c r="AF65" i="6"/>
  <c r="AF76" i="6"/>
  <c r="AF120" i="6"/>
  <c r="AF95" i="6"/>
  <c r="AQ112" i="6"/>
  <c r="AQ38" i="6"/>
  <c r="AQ118" i="6"/>
  <c r="AQ99" i="6"/>
  <c r="AQ140" i="6"/>
  <c r="AQ74" i="6"/>
  <c r="AQ32" i="6"/>
  <c r="AQ9" i="6"/>
  <c r="AQ36" i="6"/>
  <c r="AQ4" i="6"/>
  <c r="AE5" i="6"/>
  <c r="AD5" i="6"/>
  <c r="AK142" i="6"/>
  <c r="AK134" i="6"/>
  <c r="AK126" i="6"/>
  <c r="AK139" i="6"/>
  <c r="AK131" i="6"/>
  <c r="AJ142" i="6"/>
  <c r="AJ134" i="6"/>
  <c r="AJ126" i="6"/>
  <c r="AK117" i="6"/>
  <c r="AK109" i="6"/>
  <c r="AK101" i="6"/>
  <c r="AK93" i="6"/>
  <c r="AJ141" i="6"/>
  <c r="AK123" i="6"/>
  <c r="AJ115" i="6"/>
  <c r="AJ107" i="6"/>
  <c r="AJ129" i="6"/>
  <c r="AK116" i="6"/>
  <c r="AK108" i="6"/>
  <c r="AK115" i="6"/>
  <c r="AK95" i="6"/>
  <c r="AK111" i="6"/>
  <c r="AK96" i="6"/>
  <c r="AK87" i="6"/>
  <c r="AJ124" i="6"/>
  <c r="AJ95" i="6"/>
  <c r="AK99" i="6"/>
  <c r="AJ80" i="6"/>
  <c r="AJ72" i="6"/>
  <c r="AJ64" i="6"/>
  <c r="AJ56" i="6"/>
  <c r="AJ48" i="6"/>
  <c r="AK90" i="6"/>
  <c r="AK80" i="6"/>
  <c r="AK72" i="6"/>
  <c r="AK64" i="6"/>
  <c r="AK86" i="6"/>
  <c r="AK78" i="6"/>
  <c r="AK70" i="6"/>
  <c r="AK73" i="6"/>
  <c r="AJ54" i="6"/>
  <c r="AK43" i="6"/>
  <c r="AK35" i="6"/>
  <c r="AK27" i="6"/>
  <c r="AK19" i="6"/>
  <c r="AJ74" i="6"/>
  <c r="AK54" i="6"/>
  <c r="AJ45" i="6"/>
  <c r="AJ37" i="6"/>
  <c r="AK77" i="6"/>
  <c r="AK60" i="6"/>
  <c r="AJ50" i="6"/>
  <c r="AJ39" i="6"/>
  <c r="AK49" i="6"/>
  <c r="AK26" i="6"/>
  <c r="AJ16" i="6"/>
  <c r="AJ8" i="6"/>
  <c r="AK58" i="6"/>
  <c r="AK25" i="6"/>
  <c r="AJ14" i="6"/>
  <c r="AJ35" i="6"/>
  <c r="AJ25" i="6"/>
  <c r="AJ17" i="6"/>
  <c r="AJ9" i="6"/>
  <c r="AJ88" i="6"/>
  <c r="AK37" i="6"/>
  <c r="AJ26" i="6"/>
  <c r="AK14" i="6"/>
  <c r="AK6" i="6"/>
  <c r="AJ6" i="6"/>
  <c r="AK138" i="6"/>
  <c r="AK122" i="6"/>
  <c r="AK127" i="6"/>
  <c r="AJ130" i="6"/>
  <c r="AK121" i="6"/>
  <c r="AK105" i="6"/>
  <c r="AK89" i="6"/>
  <c r="AJ119" i="6"/>
  <c r="AJ137" i="6"/>
  <c r="AK112" i="6"/>
  <c r="AJ99" i="6"/>
  <c r="AK103" i="6"/>
  <c r="AK84" i="6"/>
  <c r="AK91" i="6"/>
  <c r="AJ76" i="6"/>
  <c r="AJ60" i="6"/>
  <c r="AJ108" i="6"/>
  <c r="AK76" i="6"/>
  <c r="AJ103" i="6"/>
  <c r="AK74" i="6"/>
  <c r="AJ59" i="6"/>
  <c r="AK39" i="6"/>
  <c r="AK23" i="6"/>
  <c r="AK61" i="6"/>
  <c r="AJ41" i="6"/>
  <c r="AJ63" i="6"/>
  <c r="AJ43" i="6"/>
  <c r="AK33" i="6"/>
  <c r="AJ21" i="6"/>
  <c r="AK18" i="6"/>
  <c r="AK30" i="6"/>
  <c r="AJ13" i="6"/>
  <c r="AK13" i="6"/>
  <c r="AJ31" i="6"/>
  <c r="AK10" i="6"/>
  <c r="AJ139" i="6"/>
  <c r="AJ123" i="6"/>
  <c r="AJ128" i="6"/>
  <c r="AK133" i="6"/>
  <c r="AJ114" i="6"/>
  <c r="AJ98" i="6"/>
  <c r="AK140" i="6"/>
  <c r="AK114" i="6"/>
  <c r="AK124" i="6"/>
  <c r="AJ105" i="6"/>
  <c r="AJ92" i="6"/>
  <c r="AK94" i="6"/>
  <c r="AJ122" i="6"/>
  <c r="AJ96" i="6"/>
  <c r="AK71" i="6"/>
  <c r="AK55" i="6"/>
  <c r="AJ87" i="6"/>
  <c r="AJ69" i="6"/>
  <c r="AK85" i="6"/>
  <c r="AJ67" i="6"/>
  <c r="AK50" i="6"/>
  <c r="AJ32" i="6"/>
  <c r="AK128" i="6"/>
  <c r="AK52" i="6"/>
  <c r="AK36" i="6"/>
  <c r="AJ57" i="6"/>
  <c r="AK46" i="6"/>
  <c r="AJ38" i="6"/>
  <c r="AK15" i="6"/>
  <c r="AJ42" i="6"/>
  <c r="AK9" i="6"/>
  <c r="AJ23" i="6"/>
  <c r="AK16" i="6"/>
  <c r="AJ51" i="6"/>
  <c r="AJ33" i="6"/>
  <c r="AJ11" i="6"/>
  <c r="AK5" i="6"/>
  <c r="AK143" i="6"/>
  <c r="AJ135" i="6"/>
  <c r="AJ127" i="6"/>
  <c r="AJ140" i="6"/>
  <c r="AJ132" i="6"/>
  <c r="AJ143" i="6"/>
  <c r="AK137" i="6"/>
  <c r="AK129" i="6"/>
  <c r="AJ118" i="6"/>
  <c r="AJ110" i="6"/>
  <c r="AJ102" i="6"/>
  <c r="AJ94" i="6"/>
  <c r="AJ86" i="6"/>
  <c r="AK125" i="6"/>
  <c r="AK118" i="6"/>
  <c r="AK110" i="6"/>
  <c r="AK136" i="6"/>
  <c r="AJ117" i="6"/>
  <c r="AJ109" i="6"/>
  <c r="AJ116" i="6"/>
  <c r="AJ97" i="6"/>
  <c r="AJ112" i="6"/>
  <c r="AJ100" i="6"/>
  <c r="AJ89" i="6"/>
  <c r="AJ133" i="6"/>
  <c r="AK98" i="6"/>
  <c r="AJ104" i="6"/>
  <c r="AK82" i="6"/>
  <c r="AK75" i="6"/>
  <c r="AK67" i="6"/>
  <c r="AK59" i="6"/>
  <c r="AK51" i="6"/>
  <c r="AK92" i="6"/>
  <c r="AJ81" i="6"/>
  <c r="AJ73" i="6"/>
  <c r="AJ65" i="6"/>
  <c r="AK88" i="6"/>
  <c r="AJ79" i="6"/>
  <c r="AJ71" i="6"/>
  <c r="AJ78" i="6"/>
  <c r="AK57" i="6"/>
  <c r="AJ44" i="6"/>
  <c r="AJ36" i="6"/>
  <c r="AJ28" i="6"/>
  <c r="AJ20" i="6"/>
  <c r="AK81" i="6"/>
  <c r="AJ58" i="6"/>
  <c r="AJ47" i="6"/>
  <c r="AK40" i="6"/>
  <c r="AK83" i="6"/>
  <c r="AJ62" i="6"/>
  <c r="AK53" i="6"/>
  <c r="AK42" i="6"/>
  <c r="AJ53" i="6"/>
  <c r="AJ30" i="6"/>
  <c r="AJ19" i="6"/>
  <c r="AK11" i="6"/>
  <c r="AJ29" i="6"/>
  <c r="AK17" i="6"/>
  <c r="AK41" i="6"/>
  <c r="AK28" i="6"/>
  <c r="AJ18" i="6"/>
  <c r="AK12" i="6"/>
  <c r="AJ10" i="6"/>
  <c r="AK45" i="6"/>
  <c r="AK29" i="6"/>
  <c r="AJ15" i="6"/>
  <c r="AJ7" i="6"/>
  <c r="AJ27" i="6"/>
  <c r="AK130" i="6"/>
  <c r="AK135" i="6"/>
  <c r="AJ138" i="6"/>
  <c r="AK113" i="6"/>
  <c r="AK97" i="6"/>
  <c r="AK132" i="6"/>
  <c r="AJ111" i="6"/>
  <c r="AJ121" i="6"/>
  <c r="AK120" i="6"/>
  <c r="AK119" i="6"/>
  <c r="AJ91" i="6"/>
  <c r="AK100" i="6"/>
  <c r="AJ84" i="6"/>
  <c r="AJ68" i="6"/>
  <c r="AJ52" i="6"/>
  <c r="AJ83" i="6"/>
  <c r="AK68" i="6"/>
  <c r="AJ82" i="6"/>
  <c r="AK66" i="6"/>
  <c r="AK48" i="6"/>
  <c r="AK31" i="6"/>
  <c r="AK107" i="6"/>
  <c r="AJ49" i="6"/>
  <c r="AJ101" i="6"/>
  <c r="AJ55" i="6"/>
  <c r="AK65" i="6"/>
  <c r="AJ12" i="6"/>
  <c r="AK34" i="6"/>
  <c r="AJ70" i="6"/>
  <c r="AK21" i="6"/>
  <c r="AJ5" i="6"/>
  <c r="AJ46" i="6"/>
  <c r="AK20" i="6"/>
  <c r="AK32" i="6"/>
  <c r="AJ131" i="6"/>
  <c r="AJ136" i="6"/>
  <c r="AK141" i="6"/>
  <c r="AJ125" i="6"/>
  <c r="AJ106" i="6"/>
  <c r="AJ90" i="6"/>
  <c r="AJ120" i="6"/>
  <c r="AK106" i="6"/>
  <c r="AJ113" i="6"/>
  <c r="AK102" i="6"/>
  <c r="AK104" i="6"/>
  <c r="AJ85" i="6"/>
  <c r="AJ93" i="6"/>
  <c r="AK79" i="6"/>
  <c r="AK63" i="6"/>
  <c r="AK47" i="6"/>
  <c r="AJ77" i="6"/>
  <c r="AJ61" i="6"/>
  <c r="AJ75" i="6"/>
  <c r="AK62" i="6"/>
  <c r="AJ40" i="6"/>
  <c r="AJ24" i="6"/>
  <c r="AK69" i="6"/>
  <c r="AK44" i="6"/>
  <c r="AJ66" i="6"/>
  <c r="AK38" i="6"/>
  <c r="AK24" i="6"/>
  <c r="AK7" i="6"/>
  <c r="AJ22" i="6"/>
  <c r="AJ34" i="6"/>
  <c r="AK8" i="6"/>
  <c r="AK56" i="6"/>
  <c r="AK22" i="6"/>
  <c r="AR5" i="6"/>
  <c r="AT5" i="6" s="1"/>
  <c r="AV131" i="6" s="1"/>
  <c r="AP5" i="6"/>
  <c r="AQ129" i="6" s="1"/>
  <c r="AF78" i="6"/>
  <c r="AF62" i="6"/>
  <c r="AF141" i="6"/>
  <c r="AF98" i="6"/>
  <c r="AF31" i="6"/>
  <c r="AF22" i="6"/>
  <c r="AF56" i="6"/>
  <c r="AF127" i="6"/>
  <c r="AF70" i="6"/>
  <c r="AF74" i="6"/>
  <c r="AF10" i="6"/>
  <c r="AF90" i="6"/>
  <c r="AF138" i="6"/>
  <c r="AF105" i="6"/>
  <c r="AF129" i="6"/>
  <c r="AF102" i="6"/>
  <c r="I57" i="7" l="1"/>
  <c r="K57" i="7" s="1"/>
  <c r="I58" i="7"/>
  <c r="K58" i="7" s="1"/>
  <c r="I59" i="7"/>
  <c r="I60" i="7"/>
  <c r="AQ80" i="6"/>
  <c r="AQ55" i="6"/>
  <c r="AQ5" i="6"/>
  <c r="AQ109" i="6"/>
  <c r="AQ13" i="6"/>
  <c r="AQ58" i="6"/>
  <c r="AQ128" i="6"/>
  <c r="AQ71" i="6"/>
  <c r="AQ131" i="6"/>
  <c r="AU26" i="6"/>
  <c r="AV88" i="6"/>
  <c r="AV24" i="6"/>
  <c r="AV90" i="6"/>
  <c r="AU43" i="6"/>
  <c r="AU37" i="6"/>
  <c r="AU88" i="6"/>
  <c r="AU95" i="6"/>
  <c r="AV13" i="6"/>
  <c r="AU65" i="6"/>
  <c r="AV23" i="6"/>
  <c r="AV79" i="6"/>
  <c r="AU131" i="6"/>
  <c r="AU15" i="6"/>
  <c r="AV44" i="6"/>
  <c r="AV91" i="6"/>
  <c r="AV102" i="6"/>
  <c r="AQ122" i="6"/>
  <c r="AQ143" i="6"/>
  <c r="AQ75" i="6"/>
  <c r="AQ142" i="6"/>
  <c r="AQ41" i="6"/>
  <c r="AQ46" i="6"/>
  <c r="AQ6" i="6"/>
  <c r="AQ89" i="6"/>
  <c r="AU5" i="6"/>
  <c r="AU82" i="6"/>
  <c r="AV19" i="6"/>
  <c r="AU96" i="6"/>
  <c r="AV136" i="6"/>
  <c r="AV17" i="6"/>
  <c r="AU68" i="6"/>
  <c r="AV87" i="6"/>
  <c r="AV130" i="6"/>
  <c r="AV33" i="6"/>
  <c r="AU94" i="6"/>
  <c r="AU10" i="6"/>
  <c r="AV64" i="6"/>
  <c r="AU7" i="6"/>
  <c r="AV26" i="6"/>
  <c r="AV75" i="6"/>
  <c r="AV96" i="6"/>
  <c r="AU135" i="6"/>
  <c r="AQ132" i="6"/>
  <c r="AQ134" i="6"/>
  <c r="AQ50" i="6"/>
  <c r="AQ121" i="6"/>
  <c r="AQ94" i="6"/>
  <c r="AQ62" i="6"/>
  <c r="AQ17" i="6"/>
  <c r="AQ90" i="6"/>
  <c r="AU42" i="6"/>
  <c r="AV111" i="6"/>
  <c r="AV72" i="6"/>
  <c r="AU20" i="6"/>
  <c r="AV53" i="6"/>
  <c r="AU66" i="6"/>
  <c r="AU109" i="6"/>
  <c r="AU141" i="6"/>
  <c r="AU17" i="6"/>
  <c r="AU143" i="6"/>
  <c r="AV31" i="6"/>
  <c r="AU89" i="6"/>
  <c r="AV27" i="6"/>
  <c r="AV78" i="6"/>
  <c r="AV73" i="6"/>
  <c r="AU106" i="6"/>
  <c r="AV123" i="6"/>
  <c r="AG138" i="6"/>
  <c r="AF5" i="6"/>
  <c r="AG7" i="6" s="1"/>
  <c r="AG62" i="6"/>
  <c r="AH40" i="6"/>
  <c r="AH91" i="6"/>
  <c r="AG78" i="6"/>
  <c r="AH135" i="6"/>
  <c r="AG107" i="6"/>
  <c r="AH140" i="6"/>
  <c r="AH130" i="6"/>
  <c r="AQ34" i="6"/>
  <c r="AQ60" i="6"/>
  <c r="AQ82" i="6"/>
  <c r="AQ125" i="6"/>
  <c r="AQ63" i="6"/>
  <c r="AQ21" i="6"/>
  <c r="AQ69" i="6"/>
  <c r="AQ95" i="6"/>
  <c r="AQ12" i="6"/>
  <c r="AQ30" i="6"/>
  <c r="AQ44" i="6"/>
  <c r="AQ33" i="6"/>
  <c r="AQ86" i="6"/>
  <c r="AQ85" i="6"/>
  <c r="AQ114" i="6"/>
  <c r="AQ107" i="6"/>
  <c r="AQ124" i="6"/>
  <c r="AQ79" i="6"/>
  <c r="AQ54" i="6"/>
  <c r="AQ57" i="6"/>
  <c r="AQ108" i="6"/>
  <c r="AQ28" i="6"/>
  <c r="AQ26" i="6"/>
  <c r="AQ113" i="6"/>
  <c r="AQ101" i="6"/>
  <c r="AQ139" i="6"/>
  <c r="AQ7" i="6"/>
  <c r="AQ47" i="6"/>
  <c r="AQ56" i="6"/>
  <c r="AQ45" i="6"/>
  <c r="AQ70" i="6"/>
  <c r="AQ100" i="6"/>
  <c r="AQ126" i="6"/>
  <c r="AQ119" i="6"/>
  <c r="AQ136" i="6"/>
  <c r="AV7" i="6"/>
  <c r="AU51" i="6"/>
  <c r="AU60" i="6"/>
  <c r="AU41" i="6"/>
  <c r="AU70" i="6"/>
  <c r="AV100" i="6"/>
  <c r="AU121" i="6"/>
  <c r="AU115" i="6"/>
  <c r="AU136" i="6"/>
  <c r="AU67" i="6"/>
  <c r="AU19" i="6"/>
  <c r="AV62" i="6"/>
  <c r="AV71" i="6"/>
  <c r="AV56" i="6"/>
  <c r="AV101" i="6"/>
  <c r="AU116" i="6"/>
  <c r="AU139" i="6"/>
  <c r="AV11" i="6"/>
  <c r="AU11" i="6"/>
  <c r="AU28" i="6"/>
  <c r="AU9" i="6"/>
  <c r="AU44" i="6"/>
  <c r="AU47" i="6"/>
  <c r="AU29" i="6"/>
  <c r="AV74" i="6"/>
  <c r="AU138" i="6"/>
  <c r="AV112" i="6"/>
  <c r="AU77" i="6"/>
  <c r="AU130" i="6"/>
  <c r="AV95" i="6"/>
  <c r="AV124" i="6"/>
  <c r="AU87" i="6"/>
  <c r="AU119" i="6"/>
  <c r="AU133" i="6"/>
  <c r="AU140" i="6"/>
  <c r="AU22" i="6"/>
  <c r="AU13" i="6"/>
  <c r="AV54" i="6"/>
  <c r="AU64" i="6"/>
  <c r="AU49" i="6"/>
  <c r="AV126" i="6"/>
  <c r="AV113" i="6"/>
  <c r="AU107" i="6"/>
  <c r="AU128" i="6"/>
  <c r="AV14" i="6"/>
  <c r="AV12" i="6"/>
  <c r="AU52" i="6"/>
  <c r="AU75" i="6"/>
  <c r="AV48" i="6"/>
  <c r="AV125" i="6"/>
  <c r="AU118" i="6"/>
  <c r="AV114" i="6"/>
  <c r="AV135" i="6"/>
  <c r="AU16" i="6"/>
  <c r="AV34" i="6"/>
  <c r="AV42" i="6"/>
  <c r="AV16" i="6"/>
  <c r="AV51" i="6"/>
  <c r="AU58" i="6"/>
  <c r="AV36" i="6"/>
  <c r="AV67" i="6"/>
  <c r="AV65" i="6"/>
  <c r="AV52" i="6"/>
  <c r="AU84" i="6"/>
  <c r="AV85" i="6"/>
  <c r="AV108" i="6"/>
  <c r="AU104" i="6"/>
  <c r="AV94" i="6"/>
  <c r="AU127" i="6"/>
  <c r="AV140" i="6"/>
  <c r="AG6" i="6"/>
  <c r="AG14" i="6"/>
  <c r="AH48" i="6"/>
  <c r="AG13" i="6"/>
  <c r="AG42" i="6"/>
  <c r="AG49" i="6"/>
  <c r="AG27" i="6"/>
  <c r="AG35" i="6"/>
  <c r="AG87" i="6"/>
  <c r="AG64" i="6"/>
  <c r="AH74" i="6"/>
  <c r="AG85" i="6"/>
  <c r="AG98" i="6"/>
  <c r="AH106" i="6"/>
  <c r="AG93" i="6"/>
  <c r="AG101" i="6"/>
  <c r="AG135" i="6"/>
  <c r="AH143" i="6"/>
  <c r="AG17" i="6"/>
  <c r="AG15" i="6"/>
  <c r="AG75" i="6"/>
  <c r="AH99" i="6"/>
  <c r="AQ19" i="6"/>
  <c r="AQ25" i="6"/>
  <c r="AQ73" i="6"/>
  <c r="AQ115" i="6"/>
  <c r="AQ18" i="6"/>
  <c r="AQ88" i="6"/>
  <c r="AQ78" i="6"/>
  <c r="AQ104" i="6"/>
  <c r="AQ11" i="6"/>
  <c r="AQ10" i="6"/>
  <c r="AQ43" i="6"/>
  <c r="AQ67" i="6"/>
  <c r="AQ72" i="6"/>
  <c r="AQ65" i="6"/>
  <c r="AQ98" i="6"/>
  <c r="AQ91" i="6"/>
  <c r="AQ133" i="6"/>
  <c r="AQ39" i="6"/>
  <c r="AQ51" i="6"/>
  <c r="AQ66" i="6"/>
  <c r="AQ106" i="6"/>
  <c r="AQ141" i="6"/>
  <c r="AQ23" i="6"/>
  <c r="AQ37" i="6"/>
  <c r="AQ102" i="6"/>
  <c r="AQ111" i="6"/>
  <c r="AQ27" i="6"/>
  <c r="AQ92" i="6"/>
  <c r="AQ40" i="6"/>
  <c r="AQ29" i="6"/>
  <c r="AQ81" i="6"/>
  <c r="AQ77" i="6"/>
  <c r="AQ110" i="6"/>
  <c r="AQ103" i="6"/>
  <c r="AQ120" i="6"/>
  <c r="AV21" i="6"/>
  <c r="AU40" i="6"/>
  <c r="AU25" i="6"/>
  <c r="AV97" i="6"/>
  <c r="AU73" i="6"/>
  <c r="AU102" i="6"/>
  <c r="AU99" i="6"/>
  <c r="AU120" i="6"/>
  <c r="AV47" i="6"/>
  <c r="AV41" i="6"/>
  <c r="AV57" i="6"/>
  <c r="AU86" i="6"/>
  <c r="AV81" i="6"/>
  <c r="AV137" i="6"/>
  <c r="AV121" i="6"/>
  <c r="AV10" i="6"/>
  <c r="AU39" i="6"/>
  <c r="AU18" i="6"/>
  <c r="AV66" i="6"/>
  <c r="AU36" i="6"/>
  <c r="AU38" i="6"/>
  <c r="AU21" i="6"/>
  <c r="AV55" i="6"/>
  <c r="AV92" i="6"/>
  <c r="AV84" i="6"/>
  <c r="AU69" i="6"/>
  <c r="AU105" i="6"/>
  <c r="AV120" i="6"/>
  <c r="AV117" i="6"/>
  <c r="AV133" i="6"/>
  <c r="AU111" i="6"/>
  <c r="AU125" i="6"/>
  <c r="AU132" i="6"/>
  <c r="AV35" i="6"/>
  <c r="AU32" i="6"/>
  <c r="AV99" i="6"/>
  <c r="AV50" i="6"/>
  <c r="AU78" i="6"/>
  <c r="AU90" i="6"/>
  <c r="AV105" i="6"/>
  <c r="AU91" i="6"/>
  <c r="AU137" i="6"/>
  <c r="AU31" i="6"/>
  <c r="AV25" i="6"/>
  <c r="AU81" i="6"/>
  <c r="AU48" i="6"/>
  <c r="AV77" i="6"/>
  <c r="AU98" i="6"/>
  <c r="AV116" i="6"/>
  <c r="AV98" i="6"/>
  <c r="AV119" i="6"/>
  <c r="AU8" i="6"/>
  <c r="AV6" i="6"/>
  <c r="AU23" i="6"/>
  <c r="AV8" i="6"/>
  <c r="AV43" i="6"/>
  <c r="AV45" i="6"/>
  <c r="AV28" i="6"/>
  <c r="AU63" i="6"/>
  <c r="AU117" i="6"/>
  <c r="AU101" i="6"/>
  <c r="AV76" i="6"/>
  <c r="AV129" i="6"/>
  <c r="AV93" i="6"/>
  <c r="AV122" i="6"/>
  <c r="AV86" i="6"/>
  <c r="AV118" i="6"/>
  <c r="AV132" i="6"/>
  <c r="AV139" i="6"/>
  <c r="AH5" i="6"/>
  <c r="AH13" i="6"/>
  <c r="AG4" i="6"/>
  <c r="AG33" i="6"/>
  <c r="AG5" i="6"/>
  <c r="AH47" i="6"/>
  <c r="AG58" i="6"/>
  <c r="AH34" i="6"/>
  <c r="AH42" i="6"/>
  <c r="AH63" i="6"/>
  <c r="AH71" i="6"/>
  <c r="AG79" i="6"/>
  <c r="AH93" i="6"/>
  <c r="AG104" i="6"/>
  <c r="AG108" i="6"/>
  <c r="AH100" i="6"/>
  <c r="AH108" i="6"/>
  <c r="AH142" i="6"/>
  <c r="AH125" i="6"/>
  <c r="AH27" i="6"/>
  <c r="AH45" i="6"/>
  <c r="AH87" i="6"/>
  <c r="AG115" i="6"/>
  <c r="AQ97" i="6"/>
  <c r="AQ123" i="6"/>
  <c r="AQ84" i="6"/>
  <c r="AQ138" i="6"/>
  <c r="AQ16" i="6"/>
  <c r="AQ52" i="6"/>
  <c r="AQ76" i="6"/>
  <c r="AQ117" i="6"/>
  <c r="AQ137" i="6"/>
  <c r="AQ15" i="6"/>
  <c r="AQ20" i="6"/>
  <c r="AQ42" i="6"/>
  <c r="AQ83" i="6"/>
  <c r="AQ49" i="6"/>
  <c r="AQ96" i="6"/>
  <c r="AQ116" i="6"/>
  <c r="AQ135" i="6"/>
  <c r="AQ22" i="6"/>
  <c r="AQ31" i="6"/>
  <c r="AQ64" i="6"/>
  <c r="AQ105" i="6"/>
  <c r="AQ127" i="6"/>
  <c r="AQ14" i="6"/>
  <c r="AQ48" i="6"/>
  <c r="AQ53" i="6"/>
  <c r="AQ130" i="6"/>
  <c r="AQ8" i="6"/>
  <c r="AQ24" i="6"/>
  <c r="AQ35" i="6"/>
  <c r="AQ59" i="6"/>
  <c r="AQ68" i="6"/>
  <c r="AQ61" i="6"/>
  <c r="AQ93" i="6"/>
  <c r="AQ87" i="6"/>
  <c r="AV5" i="6"/>
  <c r="AU24" i="6"/>
  <c r="AV63" i="6"/>
  <c r="AU72" i="6"/>
  <c r="AU57" i="6"/>
  <c r="AV103" i="6"/>
  <c r="AV141" i="6"/>
  <c r="AU129" i="6"/>
  <c r="AV22" i="6"/>
  <c r="AU46" i="6"/>
  <c r="AU55" i="6"/>
  <c r="AV40" i="6"/>
  <c r="AV69" i="6"/>
  <c r="AV89" i="6"/>
  <c r="AU110" i="6"/>
  <c r="AV106" i="6"/>
  <c r="AV127" i="6"/>
  <c r="AV29" i="6"/>
  <c r="AV9" i="6"/>
  <c r="AV18" i="6"/>
  <c r="AU30" i="6"/>
  <c r="AU79" i="6"/>
  <c r="AU71" i="6"/>
  <c r="AU45" i="6"/>
  <c r="AU76" i="6"/>
  <c r="AU74" i="6"/>
  <c r="AU61" i="6"/>
  <c r="AU93" i="6"/>
  <c r="AU100" i="6"/>
  <c r="AV109" i="6"/>
  <c r="AV115" i="6"/>
  <c r="AU103" i="6"/>
  <c r="AV138" i="6"/>
  <c r="AU124" i="6"/>
  <c r="AV15" i="6"/>
  <c r="AU34" i="6"/>
  <c r="AU50" i="6"/>
  <c r="AU33" i="6"/>
  <c r="AU62" i="6"/>
  <c r="AV82" i="6"/>
  <c r="AU92" i="6"/>
  <c r="AU123" i="6"/>
  <c r="AV142" i="6"/>
  <c r="AU12" i="6"/>
  <c r="AV30" i="6"/>
  <c r="AV46" i="6"/>
  <c r="AV32" i="6"/>
  <c r="AV61" i="6"/>
  <c r="AV80" i="6"/>
  <c r="AU122" i="6"/>
  <c r="AU134" i="6"/>
  <c r="AV128" i="6"/>
  <c r="AV49" i="6"/>
  <c r="AV38" i="6"/>
  <c r="AU14" i="6"/>
  <c r="AU35" i="6"/>
  <c r="AV58" i="6"/>
  <c r="AV37" i="6"/>
  <c r="AV20" i="6"/>
  <c r="AU54" i="6"/>
  <c r="AU85" i="6"/>
  <c r="AU83" i="6"/>
  <c r="AV68" i="6"/>
  <c r="AV104" i="6"/>
  <c r="AU113" i="6"/>
  <c r="AU114" i="6"/>
  <c r="AU126" i="6"/>
  <c r="AV110" i="6"/>
  <c r="AV143" i="6"/>
  <c r="AG18" i="6"/>
  <c r="AH28" i="6"/>
  <c r="AH4" i="6"/>
  <c r="AG52" i="6"/>
  <c r="AG38" i="6"/>
  <c r="AG73" i="6"/>
  <c r="AG23" i="6"/>
  <c r="AH49" i="6"/>
  <c r="AH81" i="6"/>
  <c r="AG76" i="6"/>
  <c r="AH70" i="6"/>
  <c r="AH90" i="6"/>
  <c r="AG91" i="6"/>
  <c r="AH115" i="6"/>
  <c r="AG89" i="6"/>
  <c r="AG113" i="6"/>
  <c r="AG131" i="6"/>
  <c r="AG130" i="6"/>
  <c r="I64" i="7" l="1"/>
  <c r="F64" i="7"/>
  <c r="F63" i="7"/>
  <c r="I63" i="7"/>
  <c r="K59" i="7"/>
  <c r="K60" i="7"/>
  <c r="AH123" i="6"/>
  <c r="AH101" i="6"/>
  <c r="AH85" i="6"/>
  <c r="AG60" i="6"/>
  <c r="AG36" i="6"/>
  <c r="AH10" i="6"/>
  <c r="AH20" i="6"/>
  <c r="AH88" i="6"/>
  <c r="AH46" i="6"/>
  <c r="AH9" i="6"/>
  <c r="AH128" i="6"/>
  <c r="AG106" i="6"/>
  <c r="AG136" i="6"/>
  <c r="AG47" i="6"/>
  <c r="AG81" i="6"/>
  <c r="AG48" i="6"/>
  <c r="AG22" i="6"/>
  <c r="AH8" i="6"/>
  <c r="AG118" i="6"/>
  <c r="AH38" i="6"/>
  <c r="AG142" i="6"/>
  <c r="AG132" i="6"/>
  <c r="AH127" i="6"/>
  <c r="AH114" i="6"/>
  <c r="AG88" i="6"/>
  <c r="AH64" i="6"/>
  <c r="AG40" i="6"/>
  <c r="AH14" i="6"/>
  <c r="AH24" i="6"/>
  <c r="AG143" i="6"/>
  <c r="AH96" i="6"/>
  <c r="AG59" i="6"/>
  <c r="AH43" i="6"/>
  <c r="AH129" i="6"/>
  <c r="AH122" i="6"/>
  <c r="AG141" i="6"/>
  <c r="AG121" i="6"/>
  <c r="AH97" i="6"/>
  <c r="AH62" i="6"/>
  <c r="AH73" i="6"/>
  <c r="AH76" i="6"/>
  <c r="AG41" i="6"/>
  <c r="AH31" i="6"/>
  <c r="AH16" i="6"/>
  <c r="AH120" i="6"/>
  <c r="AG70" i="6"/>
  <c r="AG30" i="6"/>
  <c r="AH136" i="6"/>
  <c r="AG114" i="6"/>
  <c r="AG90" i="6"/>
  <c r="AG55" i="6"/>
  <c r="AG66" i="6"/>
  <c r="AG57" i="6"/>
  <c r="AH32" i="6"/>
  <c r="AH112" i="6"/>
  <c r="AG69" i="6"/>
  <c r="AH44" i="6"/>
  <c r="AG129" i="6"/>
  <c r="AH109" i="6"/>
  <c r="AH83" i="6"/>
  <c r="AH50" i="6"/>
  <c r="AH82" i="6"/>
  <c r="AG50" i="6"/>
  <c r="AH25" i="6"/>
  <c r="AH7" i="6"/>
  <c r="AH104" i="6"/>
  <c r="AG67" i="6"/>
  <c r="AG65" i="6"/>
  <c r="AH12" i="6"/>
  <c r="AG139" i="6"/>
  <c r="AG140" i="6"/>
  <c r="AG97" i="6"/>
  <c r="AH105" i="6"/>
  <c r="AH103" i="6"/>
  <c r="AG123" i="6"/>
  <c r="AH78" i="6"/>
  <c r="AG111" i="6"/>
  <c r="AH118" i="6"/>
  <c r="AH80" i="6"/>
  <c r="AG31" i="6"/>
  <c r="AG44" i="6"/>
  <c r="AG46" i="6"/>
  <c r="AG20" i="6"/>
  <c r="AH57" i="6"/>
  <c r="AH59" i="6"/>
  <c r="AG100" i="6"/>
  <c r="AH67" i="6"/>
  <c r="AH35" i="6"/>
  <c r="AH29" i="6"/>
  <c r="AH133" i="6"/>
  <c r="AH126" i="6"/>
  <c r="AH116" i="6"/>
  <c r="AH124" i="6"/>
  <c r="AG116" i="6"/>
  <c r="AG99" i="6"/>
  <c r="AG94" i="6"/>
  <c r="AG63" i="6"/>
  <c r="AH79" i="6"/>
  <c r="AG74" i="6"/>
  <c r="AH51" i="6"/>
  <c r="AH18" i="6"/>
  <c r="AH84" i="6"/>
  <c r="AH72" i="6"/>
  <c r="AG21" i="6"/>
  <c r="AG12" i="6"/>
  <c r="AH21" i="6"/>
  <c r="AH137" i="6"/>
  <c r="AH95" i="6"/>
  <c r="AG95" i="6"/>
  <c r="AH52" i="6"/>
  <c r="AG54" i="6"/>
  <c r="AG126" i="6"/>
  <c r="AG137" i="6"/>
  <c r="AG109" i="6"/>
  <c r="AH117" i="6"/>
  <c r="AH111" i="6"/>
  <c r="AG92" i="6"/>
  <c r="AH110" i="6"/>
  <c r="AH58" i="6"/>
  <c r="AG72" i="6"/>
  <c r="AH69" i="6"/>
  <c r="AG43" i="6"/>
  <c r="AH60" i="6"/>
  <c r="AG61" i="6"/>
  <c r="AH36" i="6"/>
  <c r="AG37" i="6"/>
  <c r="AH15" i="6"/>
  <c r="AH23" i="6"/>
  <c r="AG9" i="6"/>
  <c r="AH138" i="6"/>
  <c r="AH139" i="6"/>
  <c r="AH131" i="6"/>
  <c r="AG119" i="6"/>
  <c r="AH75" i="6"/>
  <c r="AH30" i="6"/>
  <c r="AH37" i="6"/>
  <c r="AH17" i="6"/>
  <c r="AG8" i="6"/>
  <c r="AG122" i="6"/>
  <c r="AG133" i="6"/>
  <c r="AG105" i="6"/>
  <c r="AH113" i="6"/>
  <c r="AH107" i="6"/>
  <c r="AH86" i="6"/>
  <c r="AH89" i="6"/>
  <c r="AH54" i="6"/>
  <c r="AG68" i="6"/>
  <c r="AH65" i="6"/>
  <c r="AG39" i="6"/>
  <c r="AH55" i="6"/>
  <c r="AG56" i="6"/>
  <c r="AG29" i="6"/>
  <c r="AH19" i="6"/>
  <c r="AH11" i="6"/>
  <c r="AG10" i="6"/>
  <c r="AG120" i="6"/>
  <c r="AG51" i="6"/>
  <c r="AH22" i="6"/>
  <c r="AG45" i="6"/>
  <c r="AH141" i="6"/>
  <c r="AH134" i="6"/>
  <c r="AG124" i="6"/>
  <c r="AH92" i="6"/>
  <c r="AG125" i="6"/>
  <c r="AH94" i="6"/>
  <c r="AG103" i="6"/>
  <c r="AG71" i="6"/>
  <c r="AG86" i="6"/>
  <c r="AG83" i="6"/>
  <c r="AH61" i="6"/>
  <c r="AH26" i="6"/>
  <c r="AH39" i="6"/>
  <c r="AH41" i="6"/>
  <c r="AG11" i="6"/>
  <c r="AG24" i="6"/>
  <c r="AG32" i="6"/>
  <c r="AG28" i="6"/>
  <c r="AG112" i="6"/>
  <c r="AH98" i="6"/>
  <c r="AH53" i="6"/>
  <c r="AG16" i="6"/>
  <c r="AG134" i="6"/>
  <c r="AG127" i="6"/>
  <c r="AG117" i="6"/>
  <c r="AG128" i="6"/>
  <c r="AH119" i="6"/>
  <c r="AH102" i="6"/>
  <c r="AG96" i="6"/>
  <c r="AH66" i="6"/>
  <c r="AG80" i="6"/>
  <c r="AH77" i="6"/>
  <c r="AG53" i="6"/>
  <c r="AG19" i="6"/>
  <c r="AG102" i="6"/>
  <c r="AG77" i="6"/>
  <c r="AH6" i="6"/>
  <c r="AG26" i="6"/>
  <c r="AG34" i="6"/>
  <c r="AH33" i="6"/>
  <c r="AH121" i="6"/>
  <c r="AH132" i="6"/>
  <c r="AG110" i="6"/>
  <c r="AG84" i="6"/>
  <c r="AG82" i="6"/>
  <c r="AH56" i="6"/>
  <c r="AH68" i="6"/>
  <c r="AG25" i="6"/>
  <c r="B152" i="5" l="1"/>
  <c r="B151" i="5"/>
  <c r="B150" i="5"/>
  <c r="B149" i="5"/>
  <c r="B148" i="5"/>
  <c r="B147" i="5"/>
  <c r="B161" i="5"/>
  <c r="B160" i="5"/>
  <c r="B159" i="5"/>
  <c r="B158" i="5"/>
  <c r="B157" i="5"/>
  <c r="B156" i="5"/>
  <c r="F161" i="5"/>
  <c r="E161" i="5"/>
  <c r="D161" i="5"/>
  <c r="C161" i="5"/>
  <c r="F160" i="5"/>
  <c r="E160" i="5"/>
  <c r="D160" i="5"/>
  <c r="C160" i="5"/>
  <c r="F159" i="5"/>
  <c r="E159" i="5"/>
  <c r="D159" i="5"/>
  <c r="C159" i="5"/>
  <c r="F158" i="5"/>
  <c r="E158" i="5"/>
  <c r="D158" i="5"/>
  <c r="C158" i="5"/>
  <c r="F157" i="5"/>
  <c r="E157" i="5"/>
  <c r="D157" i="5"/>
  <c r="C157" i="5"/>
  <c r="F156" i="5"/>
  <c r="E156" i="5"/>
  <c r="D156" i="5"/>
  <c r="C156" i="5"/>
  <c r="F152" i="5"/>
  <c r="E152" i="5"/>
  <c r="D152" i="5"/>
  <c r="C152" i="5"/>
  <c r="F151" i="5"/>
  <c r="E151" i="5"/>
  <c r="D151" i="5"/>
  <c r="C151" i="5"/>
  <c r="F150" i="5"/>
  <c r="E150" i="5"/>
  <c r="D150" i="5"/>
  <c r="C150" i="5"/>
  <c r="F149" i="5"/>
  <c r="E149" i="5"/>
  <c r="D149" i="5"/>
  <c r="C149" i="5"/>
  <c r="F148" i="5"/>
  <c r="E148" i="5"/>
  <c r="D148" i="5"/>
  <c r="C148" i="5"/>
  <c r="F147" i="5"/>
  <c r="E147" i="5"/>
  <c r="D147" i="5"/>
  <c r="C147" i="5"/>
  <c r="Y16" i="5"/>
  <c r="X16" i="5"/>
  <c r="W16" i="5"/>
  <c r="V16" i="5"/>
  <c r="U16" i="5"/>
  <c r="T16" i="5"/>
  <c r="S16" i="5"/>
  <c r="R16" i="5"/>
  <c r="Q16" i="5"/>
  <c r="P16" i="5"/>
  <c r="O16" i="5"/>
  <c r="N16" i="5"/>
  <c r="M16" i="5"/>
  <c r="L16" i="5"/>
  <c r="K16" i="5"/>
  <c r="J16" i="5"/>
  <c r="I16" i="5"/>
  <c r="H16" i="5"/>
  <c r="G16" i="5"/>
  <c r="F16" i="5"/>
  <c r="Y15" i="5"/>
  <c r="X15" i="5"/>
  <c r="W15" i="5"/>
  <c r="V15" i="5"/>
  <c r="U15" i="5"/>
  <c r="T15" i="5"/>
  <c r="S15" i="5"/>
  <c r="R15" i="5"/>
  <c r="Q15" i="5"/>
  <c r="P15" i="5"/>
  <c r="O15" i="5"/>
  <c r="N15" i="5"/>
  <c r="M15" i="5"/>
  <c r="L15" i="5"/>
  <c r="K15" i="5"/>
  <c r="J15" i="5"/>
  <c r="I15" i="5"/>
  <c r="H15" i="5"/>
  <c r="G15" i="5"/>
  <c r="F15" i="5"/>
  <c r="Y14" i="5"/>
  <c r="X14" i="5"/>
  <c r="W14" i="5"/>
  <c r="V14" i="5"/>
  <c r="U14" i="5"/>
  <c r="T14" i="5"/>
  <c r="S14" i="5"/>
  <c r="R14" i="5"/>
  <c r="Q14" i="5"/>
  <c r="P14" i="5"/>
  <c r="O14" i="5"/>
  <c r="N14" i="5"/>
  <c r="M14" i="5"/>
  <c r="L14" i="5"/>
  <c r="K14" i="5"/>
  <c r="J14" i="5"/>
  <c r="I14" i="5"/>
  <c r="H14" i="5"/>
  <c r="G14" i="5"/>
  <c r="F14" i="5"/>
  <c r="Y13" i="5"/>
  <c r="X13" i="5"/>
  <c r="W13" i="5"/>
  <c r="V13" i="5"/>
  <c r="U13" i="5"/>
  <c r="T13" i="5"/>
  <c r="S13" i="5"/>
  <c r="R13" i="5"/>
  <c r="Q13" i="5"/>
  <c r="P13" i="5"/>
  <c r="O13" i="5"/>
  <c r="N13" i="5"/>
  <c r="M13" i="5"/>
  <c r="L13" i="5"/>
  <c r="K13" i="5"/>
  <c r="J13" i="5"/>
  <c r="I13" i="5"/>
  <c r="H13" i="5"/>
  <c r="G13" i="5"/>
  <c r="F13" i="5"/>
  <c r="Y12" i="5"/>
  <c r="X12" i="5"/>
  <c r="W12" i="5"/>
  <c r="V12" i="5"/>
  <c r="U12" i="5"/>
  <c r="T12" i="5"/>
  <c r="S12" i="5"/>
  <c r="R12" i="5"/>
  <c r="Q12" i="5"/>
  <c r="P12" i="5"/>
  <c r="O12" i="5"/>
  <c r="N12" i="5"/>
  <c r="M12" i="5"/>
  <c r="L12" i="5"/>
  <c r="K12" i="5"/>
  <c r="J12" i="5"/>
  <c r="I12" i="5"/>
  <c r="H12" i="5"/>
  <c r="G12" i="5"/>
  <c r="F12" i="5"/>
  <c r="Y11" i="5"/>
  <c r="X11" i="5"/>
  <c r="W11" i="5"/>
  <c r="V11" i="5"/>
  <c r="U11" i="5"/>
  <c r="T11" i="5"/>
  <c r="S11" i="5"/>
  <c r="R11" i="5"/>
  <c r="Q11" i="5"/>
  <c r="P11" i="5"/>
  <c r="O11" i="5"/>
  <c r="N11" i="5"/>
  <c r="M11" i="5"/>
  <c r="L11" i="5"/>
  <c r="K11" i="5"/>
  <c r="J11" i="5"/>
  <c r="I11" i="5"/>
  <c r="H11" i="5"/>
  <c r="G11" i="5"/>
  <c r="F11" i="5"/>
  <c r="Y10" i="5"/>
  <c r="X10" i="5"/>
  <c r="W10" i="5"/>
  <c r="V10" i="5"/>
  <c r="U10" i="5"/>
  <c r="T10" i="5"/>
  <c r="S10" i="5"/>
  <c r="R10" i="5"/>
  <c r="Q10" i="5"/>
  <c r="P10" i="5"/>
  <c r="O10" i="5"/>
  <c r="N10" i="5"/>
  <c r="M10" i="5"/>
  <c r="L10" i="5"/>
  <c r="K10" i="5"/>
  <c r="J10" i="5"/>
  <c r="I10" i="5"/>
  <c r="H10" i="5"/>
  <c r="G10" i="5"/>
  <c r="F10" i="5"/>
  <c r="Y9" i="5"/>
  <c r="X9" i="5"/>
  <c r="W9" i="5"/>
  <c r="V9" i="5"/>
  <c r="U9" i="5"/>
  <c r="T9" i="5"/>
  <c r="S9" i="5"/>
  <c r="R9" i="5"/>
  <c r="Q9" i="5"/>
  <c r="P9" i="5"/>
  <c r="O9" i="5"/>
  <c r="N9" i="5"/>
  <c r="M9" i="5"/>
  <c r="L9" i="5"/>
  <c r="K9" i="5"/>
  <c r="J9" i="5"/>
  <c r="I9" i="5"/>
  <c r="H9" i="5"/>
  <c r="G9" i="5"/>
  <c r="F9" i="5"/>
  <c r="Y8" i="5"/>
  <c r="X8" i="5"/>
  <c r="W8" i="5"/>
  <c r="V8" i="5"/>
  <c r="U8" i="5"/>
  <c r="T8" i="5"/>
  <c r="S8" i="5"/>
  <c r="R8" i="5"/>
  <c r="Q8" i="5"/>
  <c r="P8" i="5"/>
  <c r="O8" i="5"/>
  <c r="N8" i="5"/>
  <c r="M8" i="5"/>
  <c r="L8" i="5"/>
  <c r="K8" i="5"/>
  <c r="J8" i="5"/>
  <c r="I8" i="5"/>
  <c r="H8" i="5"/>
  <c r="G8" i="5"/>
  <c r="F8" i="5"/>
  <c r="Y7" i="5"/>
  <c r="X7" i="5"/>
  <c r="W7" i="5"/>
  <c r="V7" i="5"/>
  <c r="U7" i="5"/>
  <c r="T7" i="5"/>
  <c r="S7" i="5"/>
  <c r="R7" i="5"/>
  <c r="Q7" i="5"/>
  <c r="P7" i="5"/>
  <c r="O7" i="5"/>
  <c r="N7" i="5"/>
  <c r="M7" i="5"/>
  <c r="L7" i="5"/>
  <c r="K7" i="5"/>
  <c r="J7" i="5"/>
  <c r="I7" i="5"/>
  <c r="H7" i="5"/>
  <c r="G7" i="5"/>
  <c r="F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uorlando</author>
  </authors>
  <commentList>
    <comment ref="E14" authorId="0" shapeId="0" xr:uid="{20D8615C-162B-401A-B343-E7061C6795D0}">
      <text>
        <r>
          <rPr>
            <b/>
            <sz val="9"/>
            <color indexed="81"/>
            <rFont val="Tahoma"/>
            <family val="2"/>
          </rPr>
          <t>PIC2018:</t>
        </r>
        <r>
          <rPr>
            <sz val="9"/>
            <color indexed="81"/>
            <rFont val="Tahoma"/>
            <family val="2"/>
          </rPr>
          <t xml:space="preserve">
Chose gender</t>
        </r>
      </text>
    </comment>
    <comment ref="E15" authorId="0" shapeId="0" xr:uid="{FA150DC5-6171-4FBA-9339-950EAAED1965}">
      <text>
        <r>
          <rPr>
            <b/>
            <sz val="9"/>
            <color indexed="81"/>
            <rFont val="Tahoma"/>
            <family val="2"/>
          </rPr>
          <t>PIC2018:</t>
        </r>
        <r>
          <rPr>
            <sz val="9"/>
            <color indexed="81"/>
            <rFont val="Tahoma"/>
            <family val="2"/>
          </rPr>
          <t xml:space="preserve">
Price of market pig or value for the company</t>
        </r>
      </text>
    </comment>
    <comment ref="E16" authorId="0" shapeId="0" xr:uid="{F4C302E0-32BA-4EE5-AF76-B1DE2DF6EEE2}">
      <text>
        <r>
          <rPr>
            <b/>
            <sz val="9"/>
            <color indexed="81"/>
            <rFont val="Tahoma"/>
            <family val="2"/>
          </rPr>
          <t>PIC2018:</t>
        </r>
        <r>
          <rPr>
            <sz val="9"/>
            <color indexed="81"/>
            <rFont val="Tahoma"/>
            <family val="2"/>
          </rPr>
          <t xml:space="preserve">
Price of piglet after nursery phase</t>
        </r>
      </text>
    </comment>
    <comment ref="E17" authorId="0" shapeId="0" xr:uid="{A7204E1B-5519-46BD-887F-9E9F54029E00}">
      <text>
        <r>
          <rPr>
            <b/>
            <sz val="9"/>
            <color indexed="81"/>
            <rFont val="Tahoma"/>
            <family val="2"/>
          </rPr>
          <t>PIC2018:</t>
        </r>
        <r>
          <rPr>
            <sz val="9"/>
            <color indexed="81"/>
            <rFont val="Tahoma"/>
            <family val="2"/>
          </rPr>
          <t xml:space="preserve">
This is extra cost for facility for each day extra (or less). If you don't add the output will be precise only fixed time. Recommend to add about $ 0.12/pig/day </t>
        </r>
      </text>
    </comment>
    <comment ref="E18" authorId="0" shapeId="0" xr:uid="{DEB5E957-4998-49E4-A8B6-2AD3C7C5809F}">
      <text>
        <r>
          <rPr>
            <b/>
            <sz val="9"/>
            <color indexed="81"/>
            <rFont val="Tahoma"/>
            <family val="2"/>
          </rPr>
          <t>PIC2018:</t>
        </r>
        <r>
          <rPr>
            <sz val="9"/>
            <color indexed="81"/>
            <rFont val="Tahoma"/>
            <family val="2"/>
          </rPr>
          <t xml:space="preserve">
this is all other cost (Slaughter, transport, vets, genetic, etc. If you don't know the output will be only about return over investment in feed.</t>
        </r>
      </text>
    </comment>
    <comment ref="G22" authorId="0" shapeId="0" xr:uid="{9255BF35-7F71-4348-B125-5D43519452F2}">
      <text>
        <r>
          <rPr>
            <b/>
            <sz val="9"/>
            <color indexed="81"/>
            <rFont val="Tahoma"/>
            <family val="2"/>
          </rPr>
          <t>PIC 2018:</t>
        </r>
        <r>
          <rPr>
            <sz val="9"/>
            <color indexed="81"/>
            <rFont val="Tahoma"/>
            <family val="2"/>
          </rPr>
          <t xml:space="preserve">
Cost after reformulate each diet </t>
        </r>
      </text>
    </comment>
    <comment ref="J22" authorId="0" shapeId="0" xr:uid="{C6C0C243-6BCA-466C-9B11-5FE9BDCE1E32}">
      <text>
        <r>
          <rPr>
            <b/>
            <sz val="9"/>
            <color indexed="81"/>
            <rFont val="Tahoma"/>
            <family val="2"/>
          </rPr>
          <t>PIC 2018:</t>
        </r>
        <r>
          <rPr>
            <sz val="9"/>
            <color indexed="81"/>
            <rFont val="Tahoma"/>
            <family val="2"/>
          </rPr>
          <t xml:space="preserve">
Current cost for each diet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uorlando</author>
  </authors>
  <commentList>
    <comment ref="E14" authorId="0" shapeId="0" xr:uid="{30506752-9890-4FAF-9A2B-BDE0CA51BF28}">
      <text>
        <r>
          <rPr>
            <b/>
            <sz val="9"/>
            <color indexed="81"/>
            <rFont val="Tahoma"/>
            <family val="2"/>
          </rPr>
          <t>PIC2018:</t>
        </r>
        <r>
          <rPr>
            <sz val="9"/>
            <color indexed="81"/>
            <rFont val="Tahoma"/>
            <family val="2"/>
          </rPr>
          <t xml:space="preserve">
Chose gender</t>
        </r>
      </text>
    </comment>
    <comment ref="E15" authorId="0" shapeId="0" xr:uid="{88986635-A396-4F51-B349-F2E9CB4B59A9}">
      <text>
        <r>
          <rPr>
            <b/>
            <sz val="9"/>
            <color indexed="81"/>
            <rFont val="Tahoma"/>
            <family val="2"/>
          </rPr>
          <t>PIC2018:</t>
        </r>
        <r>
          <rPr>
            <sz val="9"/>
            <color indexed="81"/>
            <rFont val="Tahoma"/>
            <family val="2"/>
          </rPr>
          <t xml:space="preserve">
Price of market pig or value for the company</t>
        </r>
      </text>
    </comment>
    <comment ref="E16" authorId="0" shapeId="0" xr:uid="{F114F63A-C337-4C94-9383-3C7BA8791932}">
      <text>
        <r>
          <rPr>
            <b/>
            <sz val="9"/>
            <color indexed="81"/>
            <rFont val="Tahoma"/>
            <family val="2"/>
          </rPr>
          <t>PIC2018:</t>
        </r>
        <r>
          <rPr>
            <sz val="9"/>
            <color indexed="81"/>
            <rFont val="Tahoma"/>
            <family val="2"/>
          </rPr>
          <t xml:space="preserve">
Price of piglet after nursery phase</t>
        </r>
      </text>
    </comment>
    <comment ref="E17" authorId="0" shapeId="0" xr:uid="{B5F00B5B-546F-48D6-81F7-419DB52512BA}">
      <text>
        <r>
          <rPr>
            <b/>
            <sz val="9"/>
            <color indexed="81"/>
            <rFont val="Tahoma"/>
            <family val="2"/>
          </rPr>
          <t>PIC2018:</t>
        </r>
        <r>
          <rPr>
            <sz val="9"/>
            <color indexed="81"/>
            <rFont val="Tahoma"/>
            <family val="2"/>
          </rPr>
          <t xml:space="preserve">
This is extra cost for facility for each day extra (or less). If you don't add the output will be precise only fixed time. Recommend to add about $ 0.12/pig/day </t>
        </r>
      </text>
    </comment>
    <comment ref="E18" authorId="0" shapeId="0" xr:uid="{D44F0E63-598F-472C-9A11-1A8163DAA2A4}">
      <text>
        <r>
          <rPr>
            <b/>
            <sz val="9"/>
            <color indexed="81"/>
            <rFont val="Tahoma"/>
            <family val="2"/>
          </rPr>
          <t>PIC2018:</t>
        </r>
        <r>
          <rPr>
            <sz val="9"/>
            <color indexed="81"/>
            <rFont val="Tahoma"/>
            <family val="2"/>
          </rPr>
          <t xml:space="preserve">
this is all other cost (Slaughter, transport, vets, genetic, etc. If you don't know the output will be only about return over investment in feed.</t>
        </r>
      </text>
    </comment>
    <comment ref="G22" authorId="0" shapeId="0" xr:uid="{0932EFAF-2A77-4C68-A289-CA2097440B1B}">
      <text>
        <r>
          <rPr>
            <b/>
            <sz val="9"/>
            <color indexed="81"/>
            <rFont val="Tahoma"/>
            <family val="2"/>
          </rPr>
          <t>PIC 2018:</t>
        </r>
        <r>
          <rPr>
            <sz val="9"/>
            <color indexed="81"/>
            <rFont val="Tahoma"/>
            <family val="2"/>
          </rPr>
          <t xml:space="preserve">
Cost after reformulate each diet </t>
        </r>
      </text>
    </comment>
    <comment ref="J22" authorId="0" shapeId="0" xr:uid="{BF90B6F5-CDC6-4A69-9549-9EFEA61E5D44}">
      <text>
        <r>
          <rPr>
            <b/>
            <sz val="9"/>
            <color indexed="81"/>
            <rFont val="Tahoma"/>
            <family val="2"/>
          </rPr>
          <t>PIC 2018:</t>
        </r>
        <r>
          <rPr>
            <sz val="9"/>
            <color indexed="81"/>
            <rFont val="Tahoma"/>
            <family val="2"/>
          </rPr>
          <t xml:space="preserve">
Current cost for each diet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uorlando</author>
  </authors>
  <commentList>
    <comment ref="E14" authorId="0" shapeId="0" xr:uid="{ABA2DA0B-994A-40A3-8034-2EC709E7F2E8}">
      <text>
        <r>
          <rPr>
            <b/>
            <sz val="9"/>
            <color indexed="81"/>
            <rFont val="Tahoma"/>
            <family val="2"/>
          </rPr>
          <t>PIC2018:</t>
        </r>
        <r>
          <rPr>
            <sz val="9"/>
            <color indexed="81"/>
            <rFont val="Tahoma"/>
            <family val="2"/>
          </rPr>
          <t xml:space="preserve">
Chose gender</t>
        </r>
      </text>
    </comment>
    <comment ref="E15" authorId="0" shapeId="0" xr:uid="{20C07BC7-01BA-40D6-AB36-4BDDBD3A51B4}">
      <text>
        <r>
          <rPr>
            <b/>
            <sz val="9"/>
            <color indexed="81"/>
            <rFont val="Tahoma"/>
            <family val="2"/>
          </rPr>
          <t>PIC2018:</t>
        </r>
        <r>
          <rPr>
            <sz val="9"/>
            <color indexed="81"/>
            <rFont val="Tahoma"/>
            <family val="2"/>
          </rPr>
          <t xml:space="preserve">
Price of market pig or value for the company</t>
        </r>
      </text>
    </comment>
    <comment ref="E16" authorId="0" shapeId="0" xr:uid="{7BDEE440-0056-4565-87A5-4D5F5F07DBE3}">
      <text>
        <r>
          <rPr>
            <b/>
            <sz val="9"/>
            <color indexed="81"/>
            <rFont val="Tahoma"/>
            <family val="2"/>
          </rPr>
          <t>PIC2018:</t>
        </r>
        <r>
          <rPr>
            <sz val="9"/>
            <color indexed="81"/>
            <rFont val="Tahoma"/>
            <family val="2"/>
          </rPr>
          <t xml:space="preserve">
Price of piglet after nursery phase</t>
        </r>
      </text>
    </comment>
    <comment ref="E17" authorId="0" shapeId="0" xr:uid="{82414317-EA82-484C-BA2B-373FD055A8F0}">
      <text>
        <r>
          <rPr>
            <b/>
            <sz val="9"/>
            <color indexed="81"/>
            <rFont val="Tahoma"/>
            <family val="2"/>
          </rPr>
          <t>PIC2018:</t>
        </r>
        <r>
          <rPr>
            <sz val="9"/>
            <color indexed="81"/>
            <rFont val="Tahoma"/>
            <family val="2"/>
          </rPr>
          <t xml:space="preserve">
This is extra cost for facility for each day extra (or less). If you don't add the output will be precise only fixed time. Recommend to add about $ 0.12/pig/day </t>
        </r>
      </text>
    </comment>
    <comment ref="E18" authorId="0" shapeId="0" xr:uid="{CC631FFD-0D4B-48B8-8A42-3C4306A716F0}">
      <text>
        <r>
          <rPr>
            <b/>
            <sz val="9"/>
            <color indexed="81"/>
            <rFont val="Tahoma"/>
            <family val="2"/>
          </rPr>
          <t>PIC2018:</t>
        </r>
        <r>
          <rPr>
            <sz val="9"/>
            <color indexed="81"/>
            <rFont val="Tahoma"/>
            <family val="2"/>
          </rPr>
          <t xml:space="preserve">
this is all other cost (Slaughter, transport, vets, genetic, etc. If you don't know the output will be only about return over investment in feed.</t>
        </r>
      </text>
    </comment>
    <comment ref="G22" authorId="0" shapeId="0" xr:uid="{FED67096-AAA5-4760-A604-675F2D9A1FD6}">
      <text>
        <r>
          <rPr>
            <b/>
            <sz val="9"/>
            <color indexed="81"/>
            <rFont val="Tahoma"/>
            <family val="2"/>
          </rPr>
          <t>PIC 2018:</t>
        </r>
        <r>
          <rPr>
            <sz val="9"/>
            <color indexed="81"/>
            <rFont val="Tahoma"/>
            <family val="2"/>
          </rPr>
          <t xml:space="preserve">
Cost after reformulate each diet </t>
        </r>
      </text>
    </comment>
    <comment ref="J22" authorId="0" shapeId="0" xr:uid="{8F1B1B0F-1CA8-4EA6-997E-52B5D6786345}">
      <text>
        <r>
          <rPr>
            <b/>
            <sz val="9"/>
            <color indexed="81"/>
            <rFont val="Tahoma"/>
            <family val="2"/>
          </rPr>
          <t>PIC 2018:</t>
        </r>
        <r>
          <rPr>
            <sz val="9"/>
            <color indexed="81"/>
            <rFont val="Tahoma"/>
            <family val="2"/>
          </rPr>
          <t xml:space="preserve">
Current cost for each diet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uorlando</author>
  </authors>
  <commentList>
    <comment ref="E14" authorId="0" shapeId="0" xr:uid="{2C2C3C03-A65E-42AD-9FD9-894BDD10DD01}">
      <text>
        <r>
          <rPr>
            <b/>
            <sz val="9"/>
            <color indexed="81"/>
            <rFont val="Tahoma"/>
            <family val="2"/>
          </rPr>
          <t>PIC2018:</t>
        </r>
        <r>
          <rPr>
            <sz val="9"/>
            <color indexed="81"/>
            <rFont val="Tahoma"/>
            <family val="2"/>
          </rPr>
          <t xml:space="preserve">
Chose gender</t>
        </r>
      </text>
    </comment>
    <comment ref="E15" authorId="0" shapeId="0" xr:uid="{0C2DDA1D-CA1F-43A9-8029-6159C72494F7}">
      <text>
        <r>
          <rPr>
            <b/>
            <sz val="9"/>
            <color indexed="81"/>
            <rFont val="Tahoma"/>
            <family val="2"/>
          </rPr>
          <t>PIC2018:</t>
        </r>
        <r>
          <rPr>
            <sz val="9"/>
            <color indexed="81"/>
            <rFont val="Tahoma"/>
            <family val="2"/>
          </rPr>
          <t xml:space="preserve">
Price of market pig or value for the company</t>
        </r>
      </text>
    </comment>
    <comment ref="E16" authorId="0" shapeId="0" xr:uid="{5BC46E51-D7A3-40BD-BA09-CA345F9961FF}">
      <text>
        <r>
          <rPr>
            <b/>
            <sz val="9"/>
            <color indexed="81"/>
            <rFont val="Tahoma"/>
            <family val="2"/>
          </rPr>
          <t>PIC2018:</t>
        </r>
        <r>
          <rPr>
            <sz val="9"/>
            <color indexed="81"/>
            <rFont val="Tahoma"/>
            <family val="2"/>
          </rPr>
          <t xml:space="preserve">
Price of piglet after nursery phase</t>
        </r>
      </text>
    </comment>
    <comment ref="E17" authorId="0" shapeId="0" xr:uid="{2CB9F133-E6E1-4677-A86A-96E72AC98131}">
      <text>
        <r>
          <rPr>
            <b/>
            <sz val="9"/>
            <color indexed="81"/>
            <rFont val="Tahoma"/>
            <family val="2"/>
          </rPr>
          <t>PIC2018:</t>
        </r>
        <r>
          <rPr>
            <sz val="9"/>
            <color indexed="81"/>
            <rFont val="Tahoma"/>
            <family val="2"/>
          </rPr>
          <t xml:space="preserve">
This is extra cost for facility for each day extra (or less). If you don't add the output will be precise only fixed time. Recommend to add about $ 0.12/pig/day </t>
        </r>
      </text>
    </comment>
    <comment ref="E18" authorId="0" shapeId="0" xr:uid="{D61CAEE3-F032-4384-886A-776558090646}">
      <text>
        <r>
          <rPr>
            <b/>
            <sz val="9"/>
            <color indexed="81"/>
            <rFont val="Tahoma"/>
            <family val="2"/>
          </rPr>
          <t>PIC2018:</t>
        </r>
        <r>
          <rPr>
            <sz val="9"/>
            <color indexed="81"/>
            <rFont val="Tahoma"/>
            <family val="2"/>
          </rPr>
          <t xml:space="preserve">
this is all other cost (Slaughter, transport, vets, genetic, etc. If you don't know the output will be only about return over investment in feed.</t>
        </r>
      </text>
    </comment>
    <comment ref="G22" authorId="0" shapeId="0" xr:uid="{2A42F2A9-CB0D-4D1B-BCD5-136296FAD15B}">
      <text>
        <r>
          <rPr>
            <b/>
            <sz val="9"/>
            <color indexed="81"/>
            <rFont val="Tahoma"/>
            <family val="2"/>
          </rPr>
          <t>PIC 2018:</t>
        </r>
        <r>
          <rPr>
            <sz val="9"/>
            <color indexed="81"/>
            <rFont val="Tahoma"/>
            <family val="2"/>
          </rPr>
          <t xml:space="preserve">
Cost after reformulate each diet </t>
        </r>
      </text>
    </comment>
    <comment ref="J22" authorId="0" shapeId="0" xr:uid="{3C16A9CB-0B26-41E7-A1F3-92F83B411B8D}">
      <text>
        <r>
          <rPr>
            <b/>
            <sz val="9"/>
            <color indexed="81"/>
            <rFont val="Tahoma"/>
            <family val="2"/>
          </rPr>
          <t>PIC 2018:</t>
        </r>
        <r>
          <rPr>
            <sz val="9"/>
            <color indexed="81"/>
            <rFont val="Tahoma"/>
            <family val="2"/>
          </rPr>
          <t xml:space="preserve">
Current cost for each diet</t>
        </r>
      </text>
    </comment>
  </commentList>
</comments>
</file>

<file path=xl/sharedStrings.xml><?xml version="1.0" encoding="utf-8"?>
<sst xmlns="http://schemas.openxmlformats.org/spreadsheetml/2006/main" count="898" uniqueCount="102">
  <si>
    <t>ADG</t>
  </si>
  <si>
    <t>F/G</t>
  </si>
  <si>
    <t>Income over feed cost, $/pig</t>
  </si>
  <si>
    <t>% of maximum ADG</t>
  </si>
  <si>
    <t xml:space="preserve"> </t>
  </si>
  <si>
    <t>Income over feed/facility cost, $/pig</t>
  </si>
  <si>
    <t>SID Lys, %</t>
  </si>
  <si>
    <t>$/ton</t>
  </si>
  <si>
    <t>Feeder pig cost, $/pig</t>
  </si>
  <si>
    <t>Other costs, $/pig</t>
  </si>
  <si>
    <t>Inc over total cost, $/pig (short)</t>
  </si>
  <si>
    <t>Inc over total cost, $/pig (long)</t>
  </si>
  <si>
    <t>F/G (at max)</t>
  </si>
  <si>
    <t xml:space="preserve">F/G </t>
  </si>
  <si>
    <t>---</t>
  </si>
  <si>
    <t>% of maximum feed efficiency</t>
  </si>
  <si>
    <t>Current diets</t>
  </si>
  <si>
    <t>Facility cost, $/pig/day</t>
  </si>
  <si>
    <r>
      <t xml:space="preserve">Input </t>
    </r>
    <r>
      <rPr>
        <b/>
        <i/>
        <sz val="11"/>
        <color theme="1"/>
        <rFont val="Calibri"/>
        <family val="2"/>
        <scheme val="minor"/>
      </rPr>
      <t>(please fill beige cells)</t>
    </r>
  </si>
  <si>
    <t>Output</t>
  </si>
  <si>
    <t xml:space="preserve">   Fixed time     (space short)</t>
  </si>
  <si>
    <t xml:space="preserve">   Fixed weight (space long)</t>
  </si>
  <si>
    <t>Live pig price, $/kg</t>
  </si>
  <si>
    <t>BW, kg</t>
  </si>
  <si>
    <t>FG</t>
  </si>
  <si>
    <t>Var</t>
  </si>
  <si>
    <t>Wt</t>
  </si>
  <si>
    <t>Response</t>
  </si>
  <si>
    <t>Lysine</t>
  </si>
  <si>
    <t>Intercept</t>
  </si>
  <si>
    <t>&lt;.0001</t>
  </si>
  <si>
    <t>Effect</t>
  </si>
  <si>
    <t>Estimate</t>
  </si>
  <si>
    <t>Standard Error</t>
  </si>
  <si>
    <t>DF</t>
  </si>
  <si>
    <t>t Value</t>
  </si>
  <si>
    <t>Pr &gt; |t|</t>
  </si>
  <si>
    <t>Wt*Lysine</t>
  </si>
  <si>
    <t>Sireline</t>
  </si>
  <si>
    <t>Age</t>
  </si>
  <si>
    <t>Weight, kg</t>
  </si>
  <si>
    <t>Daily Feed Intake, kg</t>
  </si>
  <si>
    <t>F:G</t>
  </si>
  <si>
    <t>Caloric Convertion (Mcal/kg)</t>
  </si>
  <si>
    <t>Daily ME Intake, Mcal</t>
  </si>
  <si>
    <t xml:space="preserve">ME in the Diet (Mcal/kg) </t>
  </si>
  <si>
    <t>Daily NE Intake, Mcal</t>
  </si>
  <si>
    <t xml:space="preserve">NE in the Diet (Mcal/kg) </t>
  </si>
  <si>
    <t>g SID Lys/Mcal ME</t>
  </si>
  <si>
    <t>SID Lys, g/d</t>
  </si>
  <si>
    <t xml:space="preserve"> Barrow</t>
  </si>
  <si>
    <t xml:space="preserve"> Gilt</t>
  </si>
  <si>
    <t>Av.</t>
  </si>
  <si>
    <t>Ac. Av</t>
  </si>
  <si>
    <t xml:space="preserve">Barrows </t>
  </si>
  <si>
    <t>Gilts</t>
  </si>
  <si>
    <t>Barrows</t>
  </si>
  <si>
    <t>Ave. Kcal</t>
  </si>
  <si>
    <t>TOTAL</t>
  </si>
  <si>
    <t>Daily ME</t>
  </si>
  <si>
    <t>Total, Mcal</t>
  </si>
  <si>
    <t>Daily</t>
  </si>
  <si>
    <t>Total, kg</t>
  </si>
  <si>
    <t>337H</t>
  </si>
  <si>
    <t>Gain, kg</t>
  </si>
  <si>
    <t>Avg Wt, kg</t>
  </si>
  <si>
    <t>F/G A</t>
  </si>
  <si>
    <t>F/G B</t>
  </si>
  <si>
    <t>Feed cost A</t>
  </si>
  <si>
    <t>Feed cost B</t>
  </si>
  <si>
    <t>Net profit difference, $/pig</t>
  </si>
  <si>
    <t>Gender</t>
  </si>
  <si>
    <t>Boars</t>
  </si>
  <si>
    <t>Barrows and gilts</t>
  </si>
  <si>
    <t>Boars and gilts</t>
  </si>
  <si>
    <t>Avg Wt, lb</t>
  </si>
  <si>
    <t>Feed cost/kg gain, $</t>
  </si>
  <si>
    <t>ADG, kg/d</t>
  </si>
  <si>
    <t>Slot 1</t>
  </si>
  <si>
    <t>Slot 2</t>
  </si>
  <si>
    <t>Slot 3</t>
  </si>
  <si>
    <t>Slot 4</t>
  </si>
  <si>
    <t>Slot 5</t>
  </si>
  <si>
    <t>Biological requirement</t>
  </si>
  <si>
    <t>Energy, kcal NE/kg</t>
  </si>
  <si>
    <t>Slot 6</t>
  </si>
  <si>
    <t>Slot 7</t>
  </si>
  <si>
    <t>feed 1</t>
  </si>
  <si>
    <t>feed 2</t>
  </si>
  <si>
    <t>feed 3</t>
  </si>
  <si>
    <t>feed 4</t>
  </si>
  <si>
    <t>feed 5</t>
  </si>
  <si>
    <t>feed 6</t>
  </si>
  <si>
    <t>feed 7</t>
  </si>
  <si>
    <t>To be used by trained swine nutritionists. Biological requirements  are an average between average daily gain and feed efficiency. It assumes growth and intake curves for PIC 337. Background performance equations are based on a meta-analysis from 28 commercial experiments with a total of 46,092 PIC pigs. Other environmental factors can influence daily nutrient requirements and it must be adjusted for each production system to avoid behavioral or welfare issues. Most systems would be short on space most of the year. The above are only estimates and not guarantees of performance or costs. For questions on this calculator please contact the PIC nutrition team.</t>
  </si>
  <si>
    <t>Live pig price, $/cwt</t>
  </si>
  <si>
    <t>Energy, kcal NE/lb</t>
  </si>
  <si>
    <t>BW, lb</t>
  </si>
  <si>
    <t>Gain, lb</t>
  </si>
  <si>
    <t>Energy, kcal ME/lb</t>
  </si>
  <si>
    <t>Energy, kcal ME/kg</t>
  </si>
  <si>
    <t>$/tonne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</si>
</sst>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0.000"/>
    <numFmt numFmtId="165" formatCode="0.0"/>
    <numFmt numFmtId="166" formatCode="&quot;$&quot;#,##0"/>
    <numFmt numFmtId="167" formatCode="0.0%"/>
    <numFmt numFmtId="168" formatCode="&quot;$&quot;#,##0.00"/>
    <numFmt numFmtId="169" formatCode="0.0000"/>
    <numFmt numFmtId="170" formatCode="_(* #,##0.000_);_(* \(#,##0.000\);_(* &quot;-&quot;??_);_(@_)"/>
    <numFmt numFmtId="171" formatCode="&quot;$&quot;#,##0.000"/>
    <numFmt numFmtId="172" formatCode="[Blue]\ \+\ #,##0.00_);[Red]\–\ #,##0.00"/>
    <numFmt numFmtId="173" formatCode="0.000000"/>
    <numFmt numFmtId="174" formatCode="0.0000000"/>
    <numFmt numFmtId="175" formatCode="0.00000000"/>
  </numFmts>
  <fonts count="17">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indexed="8"/>
      <name val="Verdana"/>
      <family val="2"/>
    </font>
    <font>
      <sz val="11"/>
      <name val="Calibri"/>
      <family val="2"/>
      <scheme val="minor"/>
    </font>
    <font>
      <sz val="11"/>
      <color theme="0" tint="-0.499984740745262"/>
      <name val="Calibri"/>
      <family val="2"/>
      <scheme val="minor"/>
    </font>
    <font>
      <sz val="9"/>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sz val="11"/>
      <color rgb="FFFF0000"/>
      <name val="Calibri"/>
      <family val="2"/>
      <scheme val="minor"/>
    </font>
    <font>
      <sz val="10"/>
      <color rgb="FF000000"/>
      <name val="Thorndale AMT"/>
    </font>
    <font>
      <b/>
      <sz val="10"/>
      <color rgb="FF000000"/>
      <name val="Thorndale AMT"/>
    </font>
    <font>
      <sz val="12"/>
      <color theme="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Protection="0">
      <alignment vertical="top" wrapText="1"/>
    </xf>
    <xf numFmtId="43" fontId="4" fillId="0" borderId="0" applyFont="0" applyFill="0" applyBorder="0" applyAlignment="0" applyProtection="0"/>
    <xf numFmtId="0" fontId="4" fillId="0" borderId="0" applyNumberFormat="0" applyFill="0" applyBorder="0" applyProtection="0">
      <alignment vertical="top" wrapText="1"/>
    </xf>
    <xf numFmtId="43" fontId="1" fillId="0" borderId="0" applyFont="0" applyFill="0" applyBorder="0" applyAlignment="0" applyProtection="0"/>
    <xf numFmtId="44" fontId="1" fillId="0" borderId="0" applyFont="0" applyFill="0" applyBorder="0" applyAlignment="0" applyProtection="0"/>
  </cellStyleXfs>
  <cellXfs count="158">
    <xf numFmtId="0" fontId="0" fillId="0" borderId="0" xfId="0"/>
    <xf numFmtId="0" fontId="0" fillId="0" borderId="0" xfId="0"/>
    <xf numFmtId="2" fontId="0" fillId="0" borderId="0" xfId="0" applyNumberFormat="1"/>
    <xf numFmtId="164" fontId="0" fillId="0" borderId="0" xfId="0" applyNumberFormat="1"/>
    <xf numFmtId="169" fontId="0" fillId="0" borderId="0" xfId="0" applyNumberFormat="1"/>
    <xf numFmtId="168" fontId="0" fillId="2" borderId="1" xfId="0" applyNumberFormat="1" applyFill="1" applyBorder="1" applyProtection="1">
      <protection locked="0"/>
    </xf>
    <xf numFmtId="166" fontId="0" fillId="2" borderId="6" xfId="0" applyNumberFormat="1" applyFill="1" applyBorder="1" applyAlignment="1" applyProtection="1">
      <alignment horizontal="center"/>
      <protection locked="0"/>
    </xf>
    <xf numFmtId="0" fontId="6" fillId="0" borderId="0" xfId="0" applyFont="1" applyBorder="1" applyAlignment="1">
      <alignment vertical="center"/>
    </xf>
    <xf numFmtId="0" fontId="13" fillId="0" borderId="15" xfId="0" applyFont="1" applyBorder="1" applyAlignment="1">
      <alignment horizontal="center" vertical="top" wrapText="1"/>
    </xf>
    <xf numFmtId="0" fontId="12" fillId="0" borderId="15" xfId="0" applyFont="1" applyBorder="1" applyAlignment="1">
      <alignment vertical="top" wrapText="1"/>
    </xf>
    <xf numFmtId="0" fontId="12" fillId="0" borderId="15" xfId="0" applyFont="1" applyBorder="1" applyAlignment="1">
      <alignment vertical="top"/>
    </xf>
    <xf numFmtId="0" fontId="0" fillId="0" borderId="16" xfId="0" applyBorder="1"/>
    <xf numFmtId="0" fontId="13" fillId="0" borderId="0" xfId="0" applyFont="1" applyFill="1" applyBorder="1" applyAlignment="1">
      <alignment horizontal="center" vertical="top" wrapText="1"/>
    </xf>
    <xf numFmtId="2" fontId="0" fillId="0" borderId="0" xfId="0" applyNumberFormat="1" applyAlignment="1">
      <alignment horizontal="center"/>
    </xf>
    <xf numFmtId="164" fontId="0" fillId="0" borderId="0" xfId="0" applyNumberFormat="1" applyAlignment="1">
      <alignment horizontal="center"/>
    </xf>
    <xf numFmtId="0" fontId="14" fillId="0" borderId="0" xfId="0" applyFont="1" applyFill="1" applyBorder="1" applyAlignment="1" applyProtection="1">
      <alignment horizontal="center" wrapText="1"/>
      <protection hidden="1"/>
    </xf>
    <xf numFmtId="0" fontId="14" fillId="5" borderId="0" xfId="0" applyFont="1" applyFill="1" applyBorder="1" applyAlignment="1" applyProtection="1">
      <alignment horizontal="center" wrapText="1"/>
      <protection hidden="1"/>
    </xf>
    <xf numFmtId="0" fontId="14" fillId="0" borderId="0" xfId="0" applyFont="1" applyFill="1" applyBorder="1" applyAlignment="1" applyProtection="1">
      <alignment horizontal="center"/>
      <protection hidden="1"/>
    </xf>
    <xf numFmtId="2" fontId="14" fillId="0" borderId="0" xfId="0" applyNumberFormat="1" applyFont="1" applyFill="1" applyBorder="1" applyAlignment="1" applyProtection="1">
      <alignment horizontal="center"/>
      <protection hidden="1"/>
    </xf>
    <xf numFmtId="164" fontId="14" fillId="0" borderId="0" xfId="0" applyNumberFormat="1"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horizontal="center"/>
      <protection hidden="1"/>
    </xf>
    <xf numFmtId="165" fontId="14" fillId="5" borderId="0" xfId="0" applyNumberFormat="1" applyFont="1" applyFill="1" applyBorder="1" applyAlignment="1" applyProtection="1">
      <alignment horizontal="center"/>
      <protection hidden="1"/>
    </xf>
    <xf numFmtId="2" fontId="14" fillId="0" borderId="0" xfId="0" applyNumberFormat="1" applyFont="1" applyFill="1" applyBorder="1" applyAlignment="1" applyProtection="1">
      <alignment horizontal="center" vertical="center"/>
      <protection hidden="1"/>
    </xf>
    <xf numFmtId="164" fontId="14" fillId="0" borderId="0" xfId="0" applyNumberFormat="1" applyFont="1" applyFill="1" applyBorder="1" applyAlignment="1" applyProtection="1">
      <alignment horizontal="center" vertical="center"/>
      <protection hidden="1"/>
    </xf>
    <xf numFmtId="2" fontId="14" fillId="0" borderId="0" xfId="0" applyNumberFormat="1" applyFont="1" applyFill="1" applyBorder="1" applyAlignment="1" applyProtection="1">
      <alignment vertical="center"/>
      <protection hidden="1"/>
    </xf>
    <xf numFmtId="165" fontId="14" fillId="0" borderId="0" xfId="0" applyNumberFormat="1" applyFont="1" applyFill="1" applyBorder="1" applyProtection="1">
      <protection hidden="1"/>
    </xf>
    <xf numFmtId="0" fontId="0" fillId="0" borderId="0" xfId="0" applyProtection="1">
      <protection hidden="1"/>
    </xf>
    <xf numFmtId="0" fontId="2" fillId="0" borderId="2" xfId="0" applyFont="1" applyBorder="1" applyProtection="1">
      <protection hidden="1"/>
    </xf>
    <xf numFmtId="0" fontId="0" fillId="0" borderId="2" xfId="0" applyBorder="1" applyProtection="1">
      <protection hidden="1"/>
    </xf>
    <xf numFmtId="2" fontId="0" fillId="3" borderId="0" xfId="0" applyNumberFormat="1" applyFill="1" applyProtection="1">
      <protection hidden="1"/>
    </xf>
    <xf numFmtId="168" fontId="0" fillId="2" borderId="1" xfId="0" applyNumberFormat="1" applyFill="1" applyBorder="1" applyAlignment="1" applyProtection="1">
      <alignment horizontal="left"/>
      <protection locked="0"/>
    </xf>
    <xf numFmtId="0" fontId="8" fillId="0" borderId="0" xfId="0" applyFont="1" applyProtection="1">
      <protection hidden="1"/>
    </xf>
    <xf numFmtId="0" fontId="3" fillId="0" borderId="0" xfId="0" applyFont="1" applyProtection="1">
      <protection hidden="1"/>
    </xf>
    <xf numFmtId="170" fontId="0" fillId="0" borderId="0" xfId="5" applyNumberFormat="1" applyFont="1" applyProtection="1">
      <protection hidden="1"/>
    </xf>
    <xf numFmtId="43" fontId="0" fillId="0" borderId="0" xfId="5" applyFont="1" applyProtection="1">
      <protection hidden="1"/>
    </xf>
    <xf numFmtId="0" fontId="5" fillId="0" borderId="0" xfId="0" applyFont="1" applyProtection="1">
      <protection hidden="1"/>
    </xf>
    <xf numFmtId="0" fontId="2" fillId="0" borderId="0" xfId="0" applyFont="1" applyBorder="1" applyAlignment="1" applyProtection="1">
      <alignment horizontal="right"/>
      <protection hidden="1"/>
    </xf>
    <xf numFmtId="0" fontId="2" fillId="0" borderId="0" xfId="0" applyFont="1" applyBorder="1" applyProtection="1">
      <protection hidden="1"/>
    </xf>
    <xf numFmtId="0" fontId="9" fillId="0" borderId="9" xfId="0" applyFont="1" applyFill="1" applyBorder="1" applyAlignment="1" applyProtection="1">
      <alignment horizontal="center" wrapText="1"/>
      <protection hidden="1"/>
    </xf>
    <xf numFmtId="0" fontId="2" fillId="0" borderId="4" xfId="0" applyFont="1" applyFill="1" applyBorder="1" applyAlignment="1" applyProtection="1">
      <alignment horizontal="center"/>
      <protection hidden="1"/>
    </xf>
    <xf numFmtId="0" fontId="9" fillId="0" borderId="9" xfId="0" applyFont="1" applyBorder="1" applyAlignment="1" applyProtection="1">
      <alignment horizontal="center" wrapText="1"/>
      <protection hidden="1"/>
    </xf>
    <xf numFmtId="0" fontId="2" fillId="0" borderId="4" xfId="0" applyFont="1" applyBorder="1" applyAlignment="1" applyProtection="1">
      <alignment horizontal="center"/>
      <protection hidden="1"/>
    </xf>
    <xf numFmtId="2" fontId="0" fillId="0" borderId="8" xfId="0" applyNumberFormat="1" applyFill="1" applyBorder="1" applyAlignment="1" applyProtection="1">
      <alignment horizontal="center"/>
      <protection hidden="1"/>
    </xf>
    <xf numFmtId="2" fontId="11" fillId="0" borderId="0" xfId="0" applyNumberFormat="1" applyFont="1" applyProtection="1">
      <protection hidden="1"/>
    </xf>
    <xf numFmtId="0" fontId="5" fillId="0" borderId="0" xfId="0" applyFont="1" applyFill="1" applyProtection="1">
      <protection hidden="1"/>
    </xf>
    <xf numFmtId="1" fontId="5" fillId="0" borderId="0" xfId="0" applyNumberFormat="1" applyFont="1" applyFill="1" applyProtection="1">
      <protection hidden="1"/>
    </xf>
    <xf numFmtId="2" fontId="5" fillId="0" borderId="0" xfId="0" applyNumberFormat="1" applyFont="1" applyFill="1" applyProtection="1">
      <protection hidden="1"/>
    </xf>
    <xf numFmtId="168" fontId="0" fillId="0" borderId="0" xfId="0" applyNumberFormat="1" applyFill="1" applyProtection="1">
      <protection hidden="1"/>
    </xf>
    <xf numFmtId="165" fontId="0" fillId="0" borderId="0" xfId="0" applyNumberFormat="1" applyProtection="1">
      <protection hidden="1"/>
    </xf>
    <xf numFmtId="1" fontId="0" fillId="2" borderId="0" xfId="0" applyNumberFormat="1" applyFill="1" applyBorder="1" applyAlignment="1" applyProtection="1">
      <alignment horizontal="center"/>
      <protection hidden="1"/>
    </xf>
    <xf numFmtId="3" fontId="0" fillId="2" borderId="0" xfId="0" applyNumberFormat="1" applyFill="1" applyBorder="1" applyAlignment="1" applyProtection="1">
      <alignment horizontal="center"/>
      <protection hidden="1"/>
    </xf>
    <xf numFmtId="166" fontId="0" fillId="2" borderId="3"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hidden="1"/>
    </xf>
    <xf numFmtId="0" fontId="0" fillId="0" borderId="0" xfId="0" applyBorder="1" applyProtection="1">
      <protection hidden="1"/>
    </xf>
    <xf numFmtId="0" fontId="0" fillId="0" borderId="3" xfId="0" applyFill="1" applyBorder="1" applyProtection="1">
      <protection hidden="1"/>
    </xf>
    <xf numFmtId="2" fontId="0" fillId="0" borderId="8" xfId="0" applyNumberFormat="1" applyBorder="1" applyAlignment="1" applyProtection="1">
      <alignment horizontal="center"/>
      <protection hidden="1"/>
    </xf>
    <xf numFmtId="0" fontId="0" fillId="0" borderId="3" xfId="0" applyBorder="1" applyProtection="1">
      <protection hidden="1"/>
    </xf>
    <xf numFmtId="165" fontId="5" fillId="0" borderId="0" xfId="0" applyNumberFormat="1" applyFont="1" applyFill="1" applyProtection="1">
      <protection hidden="1"/>
    </xf>
    <xf numFmtId="0" fontId="0" fillId="6" borderId="0" xfId="0" applyFill="1" applyProtection="1">
      <protection hidden="1"/>
    </xf>
    <xf numFmtId="174" fontId="12" fillId="6" borderId="0" xfId="0" applyNumberFormat="1" applyFont="1" applyFill="1" applyProtection="1">
      <protection hidden="1"/>
    </xf>
    <xf numFmtId="167" fontId="5" fillId="6" borderId="0" xfId="1" applyNumberFormat="1" applyFont="1" applyFill="1" applyProtection="1">
      <protection hidden="1"/>
    </xf>
    <xf numFmtId="167" fontId="0" fillId="6" borderId="0" xfId="1" applyNumberFormat="1" applyFont="1" applyFill="1" applyProtection="1">
      <protection hidden="1"/>
    </xf>
    <xf numFmtId="164" fontId="0" fillId="6" borderId="0" xfId="1" applyNumberFormat="1" applyFont="1" applyFill="1" applyProtection="1">
      <protection hidden="1"/>
    </xf>
    <xf numFmtId="0" fontId="3" fillId="6" borderId="0" xfId="0" applyFont="1" applyFill="1" applyProtection="1">
      <protection hidden="1"/>
    </xf>
    <xf numFmtId="2" fontId="5" fillId="6" borderId="0" xfId="0" applyNumberFormat="1" applyFont="1" applyFill="1" applyProtection="1">
      <protection hidden="1"/>
    </xf>
    <xf numFmtId="0" fontId="0" fillId="0" borderId="0" xfId="0" applyFill="1" applyProtection="1">
      <protection hidden="1"/>
    </xf>
    <xf numFmtId="171" fontId="0" fillId="0" borderId="0" xfId="0" applyNumberFormat="1" applyFill="1" applyProtection="1">
      <protection hidden="1"/>
    </xf>
    <xf numFmtId="1" fontId="0" fillId="6" borderId="0" xfId="0" applyNumberFormat="1" applyFill="1" applyProtection="1">
      <protection hidden="1"/>
    </xf>
    <xf numFmtId="2" fontId="0" fillId="6" borderId="0" xfId="0" applyNumberFormat="1" applyFill="1" applyProtection="1">
      <protection hidden="1"/>
    </xf>
    <xf numFmtId="167" fontId="0" fillId="0" borderId="0" xfId="1" applyNumberFormat="1" applyFont="1" applyProtection="1">
      <protection hidden="1"/>
    </xf>
    <xf numFmtId="169" fontId="0" fillId="0" borderId="0" xfId="0" applyNumberFormat="1" applyProtection="1">
      <protection hidden="1"/>
    </xf>
    <xf numFmtId="173" fontId="0" fillId="6" borderId="0" xfId="0" applyNumberFormat="1" applyFill="1" applyProtection="1">
      <protection hidden="1"/>
    </xf>
    <xf numFmtId="167" fontId="5" fillId="6" borderId="0" xfId="1" applyNumberFormat="1" applyFont="1" applyFill="1" applyAlignment="1" applyProtection="1">
      <alignment horizontal="right"/>
      <protection hidden="1"/>
    </xf>
    <xf numFmtId="0" fontId="6" fillId="0" borderId="0" xfId="0" applyFont="1" applyBorder="1" applyAlignment="1" applyProtection="1">
      <alignment vertical="center"/>
      <protection hidden="1"/>
    </xf>
    <xf numFmtId="0" fontId="6" fillId="0" borderId="8" xfId="0" applyFont="1" applyFill="1" applyBorder="1" applyProtection="1">
      <protection hidden="1"/>
    </xf>
    <xf numFmtId="2" fontId="6" fillId="0" borderId="3" xfId="0" applyNumberFormat="1" applyFont="1" applyFill="1" applyBorder="1" applyAlignment="1" applyProtection="1">
      <alignment vertical="center"/>
      <protection hidden="1"/>
    </xf>
    <xf numFmtId="167" fontId="6" fillId="0" borderId="0" xfId="1" applyNumberFormat="1" applyFont="1" applyAlignment="1" applyProtection="1">
      <alignment horizontal="center"/>
      <protection hidden="1"/>
    </xf>
    <xf numFmtId="167" fontId="6" fillId="0" borderId="8" xfId="1" applyNumberFormat="1" applyFont="1" applyBorder="1" applyAlignment="1" applyProtection="1">
      <alignment horizontal="center"/>
      <protection hidden="1"/>
    </xf>
    <xf numFmtId="167" fontId="6" fillId="0" borderId="3" xfId="1" applyNumberFormat="1" applyFont="1" applyBorder="1" applyAlignment="1" applyProtection="1">
      <alignment horizontal="center"/>
      <protection hidden="1"/>
    </xf>
    <xf numFmtId="167" fontId="3" fillId="0" borderId="0" xfId="1" applyNumberFormat="1" applyFont="1" applyBorder="1" applyAlignment="1" applyProtection="1">
      <alignment horizontal="center"/>
      <protection hidden="1"/>
    </xf>
    <xf numFmtId="164" fontId="0" fillId="0" borderId="0" xfId="0" applyNumberFormat="1" applyProtection="1">
      <protection hidden="1"/>
    </xf>
    <xf numFmtId="43" fontId="6" fillId="0" borderId="0" xfId="5" applyFont="1" applyAlignment="1" applyProtection="1">
      <alignment horizontal="center"/>
      <protection hidden="1"/>
    </xf>
    <xf numFmtId="2" fontId="0" fillId="0" borderId="0" xfId="0" applyNumberFormat="1" applyProtection="1">
      <protection hidden="1"/>
    </xf>
    <xf numFmtId="0" fontId="6" fillId="0" borderId="9" xfId="0" applyFont="1" applyFill="1" applyBorder="1" applyProtection="1">
      <protection hidden="1"/>
    </xf>
    <xf numFmtId="0" fontId="0" fillId="0" borderId="0" xfId="0" applyBorder="1" applyAlignment="1" applyProtection="1">
      <alignment horizontal="left" vertical="center"/>
      <protection hidden="1"/>
    </xf>
    <xf numFmtId="175" fontId="12" fillId="0" borderId="0" xfId="0" applyNumberFormat="1" applyFont="1" applyProtection="1">
      <protection hidden="1"/>
    </xf>
    <xf numFmtId="2" fontId="0" fillId="0" borderId="8" xfId="1" applyNumberFormat="1" applyFont="1" applyFill="1" applyBorder="1" applyAlignment="1" applyProtection="1">
      <alignment horizontal="center"/>
      <protection hidden="1"/>
    </xf>
    <xf numFmtId="2" fontId="0" fillId="0" borderId="3" xfId="1" applyNumberFormat="1" applyFont="1" applyFill="1" applyBorder="1" applyAlignment="1" applyProtection="1">
      <alignment horizontal="center"/>
      <protection hidden="1"/>
    </xf>
    <xf numFmtId="167" fontId="6" fillId="0" borderId="0" xfId="1" applyNumberFormat="1" applyFont="1" applyBorder="1" applyAlignment="1" applyProtection="1">
      <alignment horizontal="center"/>
      <protection hidden="1"/>
    </xf>
    <xf numFmtId="0" fontId="0" fillId="4" borderId="0" xfId="0" applyFill="1" applyBorder="1" applyAlignment="1" applyProtection="1">
      <alignment horizontal="left" vertical="center"/>
      <protection hidden="1"/>
    </xf>
    <xf numFmtId="0" fontId="0" fillId="4" borderId="0" xfId="0" applyFill="1" applyBorder="1" applyProtection="1">
      <protection hidden="1"/>
    </xf>
    <xf numFmtId="2" fontId="0" fillId="0" borderId="0" xfId="0" applyNumberFormat="1" applyBorder="1" applyProtection="1">
      <protection hidden="1"/>
    </xf>
    <xf numFmtId="164" fontId="0" fillId="0" borderId="0" xfId="0" applyNumberFormat="1" applyBorder="1" applyProtection="1">
      <protection hidden="1"/>
    </xf>
    <xf numFmtId="0" fontId="5" fillId="4" borderId="0" xfId="0" applyFont="1" applyFill="1" applyBorder="1" applyAlignment="1" applyProtection="1">
      <alignment horizontal="left" vertical="center"/>
      <protection hidden="1"/>
    </xf>
    <xf numFmtId="0" fontId="0" fillId="4" borderId="0" xfId="0" applyFont="1" applyFill="1" applyBorder="1" applyAlignment="1" applyProtection="1">
      <alignment horizontal="left" vertical="center"/>
      <protection hidden="1"/>
    </xf>
    <xf numFmtId="168" fontId="0" fillId="0" borderId="0" xfId="0" applyNumberFormat="1" applyBorder="1" applyProtection="1">
      <protection hidden="1"/>
    </xf>
    <xf numFmtId="0" fontId="5" fillId="4" borderId="0" xfId="0" applyFont="1" applyFill="1" applyBorder="1" applyProtection="1">
      <protection hidden="1"/>
    </xf>
    <xf numFmtId="0" fontId="7" fillId="0" borderId="0" xfId="0" applyFont="1" applyBorder="1" applyProtection="1">
      <protection hidden="1"/>
    </xf>
    <xf numFmtId="0" fontId="0" fillId="4" borderId="8" xfId="0" applyFont="1" applyFill="1" applyBorder="1" applyProtection="1">
      <protection hidden="1"/>
    </xf>
    <xf numFmtId="165" fontId="0" fillId="4" borderId="3" xfId="0" applyNumberFormat="1" applyFont="1" applyFill="1" applyBorder="1" applyAlignment="1" applyProtection="1">
      <alignment horizontal="center" vertical="center"/>
      <protection hidden="1"/>
    </xf>
    <xf numFmtId="168" fontId="0" fillId="4" borderId="8" xfId="0" applyNumberFormat="1" applyFont="1" applyFill="1" applyBorder="1" applyAlignment="1" applyProtection="1">
      <alignment horizontal="left"/>
      <protection hidden="1"/>
    </xf>
    <xf numFmtId="168" fontId="2" fillId="4" borderId="3" xfId="0" applyNumberFormat="1" applyFont="1" applyFill="1" applyBorder="1" applyAlignment="1" applyProtection="1">
      <alignment horizontal="center"/>
      <protection hidden="1"/>
    </xf>
    <xf numFmtId="168" fontId="0" fillId="4" borderId="0" xfId="0" applyNumberFormat="1" applyFill="1" applyBorder="1" applyProtection="1">
      <protection hidden="1"/>
    </xf>
    <xf numFmtId="168" fontId="2" fillId="4" borderId="8" xfId="0" applyNumberFormat="1" applyFont="1" applyFill="1" applyBorder="1" applyAlignment="1" applyProtection="1">
      <alignment horizontal="center"/>
      <protection hidden="1"/>
    </xf>
    <xf numFmtId="168" fontId="2" fillId="4" borderId="13" xfId="0" applyNumberFormat="1" applyFont="1" applyFill="1" applyBorder="1" applyAlignment="1" applyProtection="1">
      <alignment horizontal="center"/>
      <protection hidden="1"/>
    </xf>
    <xf numFmtId="44" fontId="0" fillId="0" borderId="0" xfId="6" applyFont="1" applyBorder="1" applyProtection="1">
      <protection hidden="1"/>
    </xf>
    <xf numFmtId="0" fontId="0" fillId="4" borderId="10" xfId="0" applyFill="1" applyBorder="1" applyProtection="1">
      <protection hidden="1"/>
    </xf>
    <xf numFmtId="0" fontId="0" fillId="4" borderId="2" xfId="0" applyFill="1" applyBorder="1" applyProtection="1">
      <protection hidden="1"/>
    </xf>
    <xf numFmtId="168" fontId="0" fillId="4" borderId="12" xfId="0" applyNumberFormat="1" applyFill="1" applyBorder="1" applyAlignment="1" applyProtection="1">
      <alignment horizontal="center"/>
      <protection hidden="1"/>
    </xf>
    <xf numFmtId="0" fontId="0" fillId="0" borderId="8" xfId="0" applyBorder="1" applyProtection="1">
      <protection hidden="1"/>
    </xf>
    <xf numFmtId="0" fontId="0" fillId="0" borderId="0" xfId="0" applyFill="1" applyBorder="1" applyProtection="1">
      <protection hidden="1"/>
    </xf>
    <xf numFmtId="168" fontId="0" fillId="0" borderId="0" xfId="0" applyNumberFormat="1" applyFont="1" applyFill="1" applyBorder="1" applyAlignment="1" applyProtection="1">
      <alignment horizontal="left"/>
      <protection hidden="1"/>
    </xf>
    <xf numFmtId="168" fontId="2" fillId="0" borderId="0" xfId="0" applyNumberFormat="1" applyFont="1" applyFill="1" applyBorder="1" applyAlignment="1" applyProtection="1">
      <alignment horizontal="center"/>
      <protection hidden="1"/>
    </xf>
    <xf numFmtId="168" fontId="0" fillId="0" borderId="0" xfId="0" applyNumberFormat="1" applyFill="1" applyBorder="1" applyProtection="1">
      <protection hidden="1"/>
    </xf>
    <xf numFmtId="0" fontId="0" fillId="0" borderId="17" xfId="0" applyBorder="1" applyProtection="1">
      <protection hidden="1"/>
    </xf>
    <xf numFmtId="0" fontId="2" fillId="0" borderId="0" xfId="0" applyFont="1" applyBorder="1" applyAlignment="1" applyProtection="1">
      <alignment wrapText="1"/>
      <protection hidden="1"/>
    </xf>
    <xf numFmtId="2" fontId="0" fillId="0" borderId="0" xfId="0" applyNumberFormat="1" applyFill="1" applyBorder="1" applyAlignment="1" applyProtection="1">
      <alignment horizontal="center"/>
      <protection hidden="1"/>
    </xf>
    <xf numFmtId="0" fontId="9" fillId="0" borderId="2" xfId="0" applyFont="1" applyFill="1" applyBorder="1" applyAlignment="1" applyProtection="1">
      <alignment horizontal="center" wrapText="1"/>
      <protection hidden="1"/>
    </xf>
    <xf numFmtId="0" fontId="2" fillId="0" borderId="2" xfId="0" applyFont="1" applyBorder="1" applyAlignment="1" applyProtection="1">
      <alignment horizontal="center"/>
      <protection hidden="1"/>
    </xf>
    <xf numFmtId="2" fontId="0" fillId="0" borderId="14" xfId="1" applyNumberFormat="1" applyFont="1" applyFill="1" applyBorder="1" applyAlignment="1" applyProtection="1">
      <alignment horizontal="center"/>
      <protection hidden="1"/>
    </xf>
    <xf numFmtId="2" fontId="0" fillId="0" borderId="5" xfId="1" applyNumberFormat="1" applyFont="1" applyFill="1" applyBorder="1" applyAlignment="1" applyProtection="1">
      <alignment horizontal="center"/>
      <protection hidden="1"/>
    </xf>
    <xf numFmtId="2" fontId="0" fillId="0" borderId="8" xfId="1" applyNumberFormat="1" applyFont="1" applyFill="1" applyBorder="1" applyAlignment="1" applyProtection="1">
      <alignment horizontal="center"/>
      <protection hidden="1"/>
    </xf>
    <xf numFmtId="2" fontId="0" fillId="0" borderId="3" xfId="1" applyNumberFormat="1" applyFont="1" applyFill="1" applyBorder="1" applyAlignment="1" applyProtection="1">
      <alignment horizontal="center"/>
      <protection hidden="1"/>
    </xf>
    <xf numFmtId="0" fontId="5" fillId="0" borderId="11" xfId="0" applyFont="1" applyFill="1" applyBorder="1" applyAlignment="1" applyProtection="1">
      <alignment horizontal="center" wrapText="1"/>
      <protection hidden="1"/>
    </xf>
    <xf numFmtId="0" fontId="5" fillId="0" borderId="10" xfId="0" applyFont="1" applyFill="1" applyBorder="1" applyAlignment="1" applyProtection="1">
      <alignment horizontal="center" wrapText="1"/>
      <protection hidden="1"/>
    </xf>
    <xf numFmtId="0" fontId="0" fillId="0" borderId="11" xfId="0" applyBorder="1" applyAlignment="1" applyProtection="1">
      <alignment horizontal="center"/>
      <protection hidden="1"/>
    </xf>
    <xf numFmtId="0" fontId="0" fillId="0" borderId="10" xfId="0" applyBorder="1" applyAlignment="1" applyProtection="1">
      <alignment horizontal="center"/>
      <protection hidden="1"/>
    </xf>
    <xf numFmtId="167" fontId="0" fillId="4" borderId="8" xfId="1" applyNumberFormat="1" applyFont="1" applyFill="1" applyBorder="1" applyAlignment="1" applyProtection="1">
      <alignment horizontal="center"/>
      <protection hidden="1"/>
    </xf>
    <xf numFmtId="167" fontId="0" fillId="4" borderId="3" xfId="1" applyNumberFormat="1" applyFont="1" applyFill="1" applyBorder="1" applyAlignment="1" applyProtection="1">
      <alignment horizontal="center"/>
      <protection hidden="1"/>
    </xf>
    <xf numFmtId="2" fontId="0" fillId="4" borderId="8" xfId="0" applyNumberFormat="1" applyFill="1" applyBorder="1" applyAlignment="1" applyProtection="1">
      <alignment horizontal="center" vertical="center"/>
      <protection hidden="1"/>
    </xf>
    <xf numFmtId="2" fontId="0" fillId="4" borderId="3" xfId="0" applyNumberFormat="1" applyFill="1" applyBorder="1" applyAlignment="1" applyProtection="1">
      <alignment horizontal="center" vertical="center"/>
      <protection hidden="1"/>
    </xf>
    <xf numFmtId="0" fontId="0" fillId="4" borderId="8" xfId="0" quotePrefix="1" applyFill="1" applyBorder="1" applyAlignment="1" applyProtection="1">
      <alignment horizontal="center"/>
      <protection hidden="1"/>
    </xf>
    <xf numFmtId="0" fontId="0" fillId="4" borderId="3" xfId="0" quotePrefix="1" applyFill="1" applyBorder="1" applyAlignment="1" applyProtection="1">
      <alignment horizontal="center"/>
      <protection hidden="1"/>
    </xf>
    <xf numFmtId="2" fontId="0" fillId="4" borderId="8" xfId="1" applyNumberFormat="1" applyFont="1" applyFill="1" applyBorder="1" applyAlignment="1" applyProtection="1">
      <alignment horizontal="center"/>
      <protection hidden="1"/>
    </xf>
    <xf numFmtId="2" fontId="0" fillId="4" borderId="3" xfId="1" applyNumberFormat="1" applyFont="1" applyFill="1" applyBorder="1" applyAlignment="1" applyProtection="1">
      <alignment horizontal="center"/>
      <protection hidden="1"/>
    </xf>
    <xf numFmtId="164" fontId="5" fillId="4" borderId="8" xfId="1" applyNumberFormat="1" applyFont="1" applyFill="1" applyBorder="1" applyAlignment="1" applyProtection="1">
      <alignment horizontal="center"/>
      <protection hidden="1"/>
    </xf>
    <xf numFmtId="164" fontId="5" fillId="4" borderId="3" xfId="1" applyNumberFormat="1" applyFont="1" applyFill="1" applyBorder="1" applyAlignment="1" applyProtection="1">
      <alignment horizontal="center"/>
      <protection hidden="1"/>
    </xf>
    <xf numFmtId="168" fontId="0" fillId="4" borderId="8" xfId="0" applyNumberFormat="1" applyFont="1" applyFill="1" applyBorder="1" applyAlignment="1" applyProtection="1">
      <alignment horizontal="center" vertical="center"/>
      <protection hidden="1"/>
    </xf>
    <xf numFmtId="168" fontId="0" fillId="4" borderId="3"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top" wrapText="1"/>
      <protection hidden="1"/>
    </xf>
    <xf numFmtId="168" fontId="5" fillId="4" borderId="8" xfId="0" applyNumberFormat="1" applyFont="1" applyFill="1" applyBorder="1" applyAlignment="1" applyProtection="1">
      <alignment horizontal="center"/>
      <protection hidden="1"/>
    </xf>
    <xf numFmtId="168" fontId="5" fillId="4" borderId="3" xfId="0" applyNumberFormat="1" applyFont="1" applyFill="1" applyBorder="1" applyAlignment="1" applyProtection="1">
      <alignment horizontal="center"/>
      <protection hidden="1"/>
    </xf>
    <xf numFmtId="2" fontId="0" fillId="4" borderId="8" xfId="0" applyNumberFormat="1" applyFont="1" applyFill="1" applyBorder="1" applyAlignment="1" applyProtection="1">
      <alignment horizontal="center" vertical="center"/>
      <protection hidden="1"/>
    </xf>
    <xf numFmtId="2" fontId="0" fillId="4" borderId="3" xfId="0" applyNumberFormat="1" applyFont="1" applyFill="1" applyBorder="1" applyAlignment="1" applyProtection="1">
      <alignment horizontal="center" vertical="center"/>
      <protection hidden="1"/>
    </xf>
    <xf numFmtId="172" fontId="2" fillId="4" borderId="8" xfId="0" applyNumberFormat="1" applyFont="1" applyFill="1" applyBorder="1" applyAlignment="1" applyProtection="1">
      <alignment horizontal="center"/>
      <protection hidden="1"/>
    </xf>
    <xf numFmtId="172" fontId="2" fillId="4" borderId="3" xfId="0" applyNumberFormat="1" applyFont="1" applyFill="1" applyBorder="1" applyAlignment="1" applyProtection="1">
      <alignment horizontal="center"/>
      <protection hidden="1"/>
    </xf>
    <xf numFmtId="172" fontId="2" fillId="4" borderId="11" xfId="0" applyNumberFormat="1" applyFont="1" applyFill="1" applyBorder="1" applyAlignment="1" applyProtection="1">
      <alignment horizontal="center"/>
      <protection hidden="1"/>
    </xf>
    <xf numFmtId="172" fontId="2" fillId="4" borderId="10" xfId="0" applyNumberFormat="1"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protection hidden="1"/>
    </xf>
    <xf numFmtId="165" fontId="14" fillId="5" borderId="0" xfId="0" applyNumberFormat="1" applyFont="1" applyFill="1" applyBorder="1" applyAlignment="1" applyProtection="1">
      <alignment horizontal="center"/>
      <protection hidden="1"/>
    </xf>
    <xf numFmtId="0" fontId="14" fillId="5" borderId="0" xfId="0" applyFont="1" applyFill="1" applyBorder="1" applyAlignment="1" applyProtection="1">
      <alignment horizontal="center"/>
      <protection hidden="1"/>
    </xf>
    <xf numFmtId="1" fontId="0" fillId="2" borderId="1" xfId="0" applyNumberFormat="1" applyFill="1" applyBorder="1" applyAlignment="1" applyProtection="1">
      <alignment horizontal="center"/>
      <protection locked="0"/>
    </xf>
    <xf numFmtId="3" fontId="0" fillId="2" borderId="6"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cellXfs>
  <cellStyles count="7">
    <cellStyle name="Comma" xfId="5" builtinId="3"/>
    <cellStyle name="Comma 2" xfId="3" xr:uid="{00000000-0005-0000-0000-000001000000}"/>
    <cellStyle name="Currency" xfId="6" builtinId="4"/>
    <cellStyle name="Normal" xfId="0" builtinId="0"/>
    <cellStyle name="Normal 2" xfId="2" xr:uid="{00000000-0005-0000-0000-000003000000}"/>
    <cellStyle name="Normal 3" xfId="4" xr:uid="{00000000-0005-0000-0000-000004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numFmt formatCode="General" sourceLinked="0"/>
            </c:trendlineLbl>
          </c:trendline>
          <c:xVal>
            <c:numRef>
              <c:f>Sheet1!$A$147:$A$152</c:f>
              <c:numCache>
                <c:formatCode>0.00</c:formatCode>
                <c:ptCount val="6"/>
                <c:pt idx="0">
                  <c:v>50</c:v>
                </c:pt>
                <c:pt idx="1">
                  <c:v>90</c:v>
                </c:pt>
                <c:pt idx="2">
                  <c:v>130</c:v>
                </c:pt>
                <c:pt idx="3">
                  <c:v>180</c:v>
                </c:pt>
                <c:pt idx="4">
                  <c:v>230</c:v>
                </c:pt>
                <c:pt idx="5">
                  <c:v>280</c:v>
                </c:pt>
              </c:numCache>
            </c:numRef>
          </c:xVal>
          <c:yVal>
            <c:numRef>
              <c:f>Sheet1!$B$147:$B$152</c:f>
              <c:numCache>
                <c:formatCode>0.00</c:formatCode>
                <c:ptCount val="6"/>
                <c:pt idx="0">
                  <c:v>1.0083</c:v>
                </c:pt>
                <c:pt idx="1">
                  <c:v>1.0046999999999999</c:v>
                </c:pt>
                <c:pt idx="2">
                  <c:v>1.0010999999999999</c:v>
                </c:pt>
                <c:pt idx="3">
                  <c:v>0.99659999999999993</c:v>
                </c:pt>
                <c:pt idx="4">
                  <c:v>0.99209999999999987</c:v>
                </c:pt>
                <c:pt idx="5">
                  <c:v>0.98759999999999992</c:v>
                </c:pt>
              </c:numCache>
            </c:numRef>
          </c:yVal>
          <c:smooth val="0"/>
          <c:extLst>
            <c:ext xmlns:c16="http://schemas.microsoft.com/office/drawing/2014/chart" uri="{C3380CC4-5D6E-409C-BE32-E72D297353CC}">
              <c16:uniqueId val="{00000001-9E87-457C-B3DF-04654D839111}"/>
            </c:ext>
          </c:extLst>
        </c:ser>
        <c:dLbls>
          <c:showLegendKey val="0"/>
          <c:showVal val="0"/>
          <c:showCatName val="0"/>
          <c:showSerName val="0"/>
          <c:showPercent val="0"/>
          <c:showBubbleSize val="0"/>
        </c:dLbls>
        <c:axId val="67620864"/>
        <c:axId val="67622400"/>
      </c:scatterChart>
      <c:valAx>
        <c:axId val="67620864"/>
        <c:scaling>
          <c:orientation val="minMax"/>
        </c:scaling>
        <c:delete val="0"/>
        <c:axPos val="b"/>
        <c:numFmt formatCode="0.00" sourceLinked="1"/>
        <c:majorTickMark val="out"/>
        <c:minorTickMark val="none"/>
        <c:tickLblPos val="nextTo"/>
        <c:crossAx val="67622400"/>
        <c:crosses val="autoZero"/>
        <c:crossBetween val="midCat"/>
      </c:valAx>
      <c:valAx>
        <c:axId val="67622400"/>
        <c:scaling>
          <c:orientation val="minMax"/>
        </c:scaling>
        <c:delete val="0"/>
        <c:axPos val="l"/>
        <c:majorGridlines/>
        <c:numFmt formatCode="0.00" sourceLinked="1"/>
        <c:majorTickMark val="out"/>
        <c:minorTickMark val="none"/>
        <c:tickLblPos val="nextTo"/>
        <c:crossAx val="67620864"/>
        <c:crosses val="autoZero"/>
        <c:crossBetween val="midCat"/>
      </c:valAx>
    </c:plotArea>
    <c:legend>
      <c:legendPos val="r"/>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numFmt formatCode="General" sourceLinked="0"/>
            </c:trendlineLbl>
          </c:trendline>
          <c:xVal>
            <c:numRef>
              <c:f>Sheet1!$A$156:$A$161</c:f>
              <c:numCache>
                <c:formatCode>0.000</c:formatCode>
                <c:ptCount val="6"/>
                <c:pt idx="0">
                  <c:v>50</c:v>
                </c:pt>
                <c:pt idx="1">
                  <c:v>90</c:v>
                </c:pt>
                <c:pt idx="2">
                  <c:v>130</c:v>
                </c:pt>
                <c:pt idx="3">
                  <c:v>180</c:v>
                </c:pt>
                <c:pt idx="4">
                  <c:v>230</c:v>
                </c:pt>
                <c:pt idx="5">
                  <c:v>280</c:v>
                </c:pt>
              </c:numCache>
            </c:numRef>
          </c:xVal>
          <c:yVal>
            <c:numRef>
              <c:f>Sheet1!$B$156:$B$161</c:f>
              <c:numCache>
                <c:formatCode>0.000</c:formatCode>
                <c:ptCount val="6"/>
                <c:pt idx="0">
                  <c:v>0.98869999999999991</c:v>
                </c:pt>
                <c:pt idx="1">
                  <c:v>0.9899</c:v>
                </c:pt>
                <c:pt idx="2">
                  <c:v>0.99109999999999998</c:v>
                </c:pt>
                <c:pt idx="3">
                  <c:v>0.99259999999999993</c:v>
                </c:pt>
                <c:pt idx="4">
                  <c:v>0.99409999999999998</c:v>
                </c:pt>
                <c:pt idx="5">
                  <c:v>0.99559999999999993</c:v>
                </c:pt>
              </c:numCache>
            </c:numRef>
          </c:yVal>
          <c:smooth val="0"/>
          <c:extLst>
            <c:ext xmlns:c16="http://schemas.microsoft.com/office/drawing/2014/chart" uri="{C3380CC4-5D6E-409C-BE32-E72D297353CC}">
              <c16:uniqueId val="{00000001-1046-4421-B57D-6B3BDD385530}"/>
            </c:ext>
          </c:extLst>
        </c:ser>
        <c:dLbls>
          <c:showLegendKey val="0"/>
          <c:showVal val="0"/>
          <c:showCatName val="0"/>
          <c:showSerName val="0"/>
          <c:showPercent val="0"/>
          <c:showBubbleSize val="0"/>
        </c:dLbls>
        <c:axId val="70194688"/>
        <c:axId val="70196224"/>
      </c:scatterChart>
      <c:valAx>
        <c:axId val="70194688"/>
        <c:scaling>
          <c:orientation val="minMax"/>
        </c:scaling>
        <c:delete val="0"/>
        <c:axPos val="b"/>
        <c:numFmt formatCode="0.000" sourceLinked="1"/>
        <c:majorTickMark val="out"/>
        <c:minorTickMark val="none"/>
        <c:tickLblPos val="nextTo"/>
        <c:crossAx val="70196224"/>
        <c:crosses val="autoZero"/>
        <c:crossBetween val="midCat"/>
      </c:valAx>
      <c:valAx>
        <c:axId val="70196224"/>
        <c:scaling>
          <c:orientation val="minMax"/>
        </c:scaling>
        <c:delete val="0"/>
        <c:axPos val="l"/>
        <c:majorGridlines/>
        <c:numFmt formatCode="0.000" sourceLinked="1"/>
        <c:majorTickMark val="out"/>
        <c:minorTickMark val="none"/>
        <c:tickLblPos val="nextTo"/>
        <c:crossAx val="70194688"/>
        <c:crosses val="autoZero"/>
        <c:crossBetween val="midCat"/>
      </c:valAx>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ly"/>
            <c:order val="3"/>
            <c:dispRSqr val="1"/>
            <c:dispEq val="1"/>
            <c:trendlineLbl>
              <c:layout>
                <c:manualLayout>
                  <c:x val="0.19411023622047244"/>
                  <c:y val="0.39218503937007976"/>
                </c:manualLayout>
              </c:layout>
              <c:numFmt formatCode="General" sourceLinked="0"/>
            </c:trendlineLbl>
          </c:trendline>
          <c:xVal>
            <c:numRef>
              <c:f>'Growth curve'!$E$3:$E$143</c:f>
              <c:numCache>
                <c:formatCode>0.00</c:formatCode>
                <c:ptCount val="141"/>
                <c:pt idx="0">
                  <c:v>21.837527586510877</c:v>
                </c:pt>
                <c:pt idx="1">
                  <c:v>22.51948983261164</c:v>
                </c:pt>
                <c:pt idx="2">
                  <c:v>23.211066481537145</c:v>
                </c:pt>
                <c:pt idx="3">
                  <c:v>23.9121241665786</c:v>
                </c:pt>
                <c:pt idx="4">
                  <c:v>24.622527461583413</c:v>
                </c:pt>
                <c:pt idx="5">
                  <c:v>25.342138974993631</c:v>
                </c:pt>
                <c:pt idx="6">
                  <c:v>26.070819443687867</c:v>
                </c:pt>
                <c:pt idx="7">
                  <c:v>26.808427826571503</c:v>
                </c:pt>
                <c:pt idx="8">
                  <c:v>27.554821397858962</c:v>
                </c:pt>
                <c:pt idx="9">
                  <c:v>28.309855839989758</c:v>
                </c:pt>
                <c:pt idx="10">
                  <c:v>29.073385336120136</c:v>
                </c:pt>
                <c:pt idx="11">
                  <c:v>29.84526266213102</c:v>
                </c:pt>
                <c:pt idx="12">
                  <c:v>30.625339278092934</c:v>
                </c:pt>
                <c:pt idx="13">
                  <c:v>31.413465419128517</c:v>
                </c:pt>
                <c:pt idx="14">
                  <c:v>32.209490185613397</c:v>
                </c:pt>
                <c:pt idx="15">
                  <c:v>33.013261632656906</c:v>
                </c:pt>
                <c:pt idx="16">
                  <c:v>33.824626858804301</c:v>
                </c:pt>
                <c:pt idx="17">
                  <c:v>34.64343209390357</c:v>
                </c:pt>
                <c:pt idx="18">
                  <c:v>35.469522786080304</c:v>
                </c:pt>
                <c:pt idx="19">
                  <c:v>36.30274368776584</c:v>
                </c:pt>
                <c:pt idx="20">
                  <c:v>37.142938940724704</c:v>
                </c:pt>
                <c:pt idx="21">
                  <c:v>37.989952160029148</c:v>
                </c:pt>
                <c:pt idx="22">
                  <c:v>38.843626516929959</c:v>
                </c:pt>
                <c:pt idx="23">
                  <c:v>39.70380482057454</c:v>
                </c:pt>
                <c:pt idx="24">
                  <c:v>40.570329598524694</c:v>
                </c:pt>
                <c:pt idx="25">
                  <c:v>41.443043176028894</c:v>
                </c:pt>
                <c:pt idx="26">
                  <c:v>42.321787754005229</c:v>
                </c:pt>
                <c:pt idx="27">
                  <c:v>43.206405485693594</c:v>
                </c:pt>
                <c:pt idx="28">
                  <c:v>44.096738551937513</c:v>
                </c:pt>
                <c:pt idx="29">
                  <c:v>44.99262923505826</c:v>
                </c:pt>
                <c:pt idx="30">
                  <c:v>45.893919991285827</c:v>
                </c:pt>
                <c:pt idx="31">
                  <c:v>46.800453521713862</c:v>
                </c:pt>
                <c:pt idx="32">
                  <c:v>47.712072841747414</c:v>
                </c:pt>
                <c:pt idx="33">
                  <c:v>48.628621349015063</c:v>
                </c:pt>
                <c:pt idx="34">
                  <c:v>49.549942889718878</c:v>
                </c:pt>
                <c:pt idx="35">
                  <c:v>50.475881823397806</c:v>
                </c:pt>
                <c:pt idx="36">
                  <c:v>51.406283086083022</c:v>
                </c:pt>
                <c:pt idx="37">
                  <c:v>52.340992251824915</c:v>
                </c:pt>
                <c:pt idx="38">
                  <c:v>53.279855592574776</c:v>
                </c:pt>
                <c:pt idx="39">
                  <c:v>54.222720136405435</c:v>
                </c:pt>
                <c:pt idx="40">
                  <c:v>55.169433724058081</c:v>
                </c:pt>
                <c:pt idx="41">
                  <c:v>56.11984506380405</c:v>
                </c:pt>
                <c:pt idx="42">
                  <c:v>57.073803784612991</c:v>
                </c:pt>
                <c:pt idx="43">
                  <c:v>58.031160487620582</c:v>
                </c:pt>
                <c:pt idx="44">
                  <c:v>58.991766795890953</c:v>
                </c:pt>
                <c:pt idx="45">
                  <c:v>59.955475402471635</c:v>
                </c:pt>
                <c:pt idx="46">
                  <c:v>60.922140116739754</c:v>
                </c:pt>
                <c:pt idx="47">
                  <c:v>61.891615909041029</c:v>
                </c:pt>
                <c:pt idx="48">
                  <c:v>62.863758953624867</c:v>
                </c:pt>
                <c:pt idx="49">
                  <c:v>63.838426669879802</c:v>
                </c:pt>
                <c:pt idx="50">
                  <c:v>64.815477761876735</c:v>
                </c:pt>
                <c:pt idx="51">
                  <c:v>65.794772256227816</c:v>
                </c:pt>
                <c:pt idx="52">
                  <c:v>66.776171538271058</c:v>
                </c:pt>
                <c:pt idx="53">
                  <c:v>67.759538386592553</c:v>
                </c:pt>
                <c:pt idx="54">
                  <c:v>68.744737005898997</c:v>
                </c:pt>
                <c:pt idx="55">
                  <c:v>69.731633058255511</c:v>
                </c:pt>
                <c:pt idx="56">
                  <c:v>70.72009369270441</c:v>
                </c:pt>
                <c:pt idx="57">
                  <c:v>71.709987573282234</c:v>
                </c:pt>
                <c:pt idx="58">
                  <c:v>72.701184905453943</c:v>
                </c:pt>
                <c:pt idx="59">
                  <c:v>73.69355746098347</c:v>
                </c:pt>
                <c:pt idx="60">
                  <c:v>74.686978601262098</c:v>
                </c:pt>
                <c:pt idx="61">
                  <c:v>75.681323299116187</c:v>
                </c:pt>
                <c:pt idx="62">
                  <c:v>76.676468159117377</c:v>
                </c:pt>
                <c:pt idx="63">
                  <c:v>77.6722914364193</c:v>
                </c:pt>
                <c:pt idx="64">
                  <c:v>78.668673054145358</c:v>
                </c:pt>
                <c:pt idx="65">
                  <c:v>79.665494619353183</c:v>
                </c:pt>
                <c:pt idx="66">
                  <c:v>80.662639437602422</c:v>
                </c:pt>
                <c:pt idx="67">
                  <c:v>81.659992526152351</c:v>
                </c:pt>
                <c:pt idx="68">
                  <c:v>82.6574406258176</c:v>
                </c:pt>
                <c:pt idx="69">
                  <c:v>83.65487221150957</c:v>
                </c:pt>
                <c:pt idx="70">
                  <c:v>84.652177501492829</c:v>
                </c:pt>
                <c:pt idx="71">
                  <c:v>85.649248465385369</c:v>
                </c:pt>
                <c:pt idx="72">
                  <c:v>86.645978830932449</c:v>
                </c:pt>
                <c:pt idx="73">
                  <c:v>87.642264089583904</c:v>
                </c:pt>
                <c:pt idx="74">
                  <c:v>88.638001500905048</c:v>
                </c:pt>
                <c:pt idx="75">
                  <c:v>89.633090095852069</c:v>
                </c:pt>
                <c:pt idx="76">
                  <c:v>90.627430678941849</c:v>
                </c:pt>
                <c:pt idx="77">
                  <c:v>91.620925829347712</c:v>
                </c:pt>
                <c:pt idx="78">
                  <c:v>92.613479900951688</c:v>
                </c:pt>
                <c:pt idx="79">
                  <c:v>93.604999021384103</c:v>
                </c:pt>
                <c:pt idx="80">
                  <c:v>94.595391090081876</c:v>
                </c:pt>
                <c:pt idx="81">
                  <c:v>95.584565775395973</c:v>
                </c:pt>
                <c:pt idx="82">
                  <c:v>96.572434510779274</c:v>
                </c:pt>
                <c:pt idx="83">
                  <c:v>97.55891049008531</c:v>
                </c:pt>
                <c:pt idx="84">
                  <c:v>98.543908662008747</c:v>
                </c:pt>
                <c:pt idx="85">
                  <c:v>99.527345723697806</c:v>
                </c:pt>
                <c:pt idx="86">
                  <c:v>100.50914011356888</c:v>
                </c:pt>
                <c:pt idx="87">
                  <c:v>101.48921200335343</c:v>
                </c:pt>
                <c:pt idx="88">
                  <c:v>102.46748328940697</c:v>
                </c:pt>
                <c:pt idx="89">
                  <c:v>103.44387758330897</c:v>
                </c:pt>
                <c:pt idx="90">
                  <c:v>104.41832020178349</c:v>
                </c:pt>
                <c:pt idx="91">
                  <c:v>105.39073815596873</c:v>
                </c:pt>
                <c:pt idx="92">
                  <c:v>106.36106014006434</c:v>
                </c:pt>
                <c:pt idx="93">
                  <c:v>107.32921651938358</c:v>
                </c:pt>
                <c:pt idx="94">
                  <c:v>108.29513931783916</c:v>
                </c:pt>
                <c:pt idx="95">
                  <c:v>109.2587622048886</c:v>
                </c:pt>
                <c:pt idx="96">
                  <c:v>110.22002048196677</c:v>
                </c:pt>
                <c:pt idx="97">
                  <c:v>111.17885106843096</c:v>
                </c:pt>
                <c:pt idx="98">
                  <c:v>112.13519248704512</c:v>
                </c:pt>
                <c:pt idx="99">
                  <c:v>113.08898484902761</c:v>
                </c:pt>
                <c:pt idx="100">
                  <c:v>114.04016983868792</c:v>
                </c:pt>
                <c:pt idx="101">
                  <c:v>114.98869069767609</c:v>
                </c:pt>
                <c:pt idx="102">
                  <c:v>115.9344922088689</c:v>
                </c:pt>
                <c:pt idx="103">
                  <c:v>116.87752067991579</c:v>
                </c:pt>
                <c:pt idx="104">
                  <c:v>117.81772392646712</c:v>
                </c:pt>
                <c:pt idx="105">
                  <c:v>118.75505125510729</c:v>
                </c:pt>
                <c:pt idx="106">
                  <c:v>119.68945344601369</c:v>
                </c:pt>
                <c:pt idx="107">
                  <c:v>120.62088273536297</c:v>
                </c:pt>
                <c:pt idx="108">
                  <c:v>121.54929279750495</c:v>
                </c:pt>
                <c:pt idx="109">
                  <c:v>122.47463872692414</c:v>
                </c:pt>
                <c:pt idx="110">
                  <c:v>123.39687702000812</c:v>
                </c:pt>
                <c:pt idx="111">
                  <c:v>124.31596555664173</c:v>
                </c:pt>
                <c:pt idx="112">
                  <c:v>125.23186358164554</c:v>
                </c:pt>
                <c:pt idx="113">
                  <c:v>126.14453168607582</c:v>
                </c:pt>
                <c:pt idx="114">
                  <c:v>127.05393178840372</c:v>
                </c:pt>
                <c:pt idx="115">
                  <c:v>127.96002711559012</c:v>
                </c:pt>
                <c:pt idx="116">
                  <c:v>128.86278218407222</c:v>
                </c:pt>
                <c:pt idx="117">
                  <c:v>129.76216278067747</c:v>
                </c:pt>
                <c:pt idx="118">
                  <c:v>130.65813594347998</c:v>
                </c:pt>
                <c:pt idx="119">
                  <c:v>131.55066994261387</c:v>
                </c:pt>
                <c:pt idx="120">
                  <c:v>132.43973426105765</c:v>
                </c:pt>
                <c:pt idx="121">
                  <c:v>133.32529957540294</c:v>
                </c:pt>
                <c:pt idx="122">
                  <c:v>134.20733773662113</c:v>
                </c:pt>
                <c:pt idx="123">
                  <c:v>135.08582175083933</c:v>
                </c:pt>
                <c:pt idx="124">
                  <c:v>135.96072576013916</c:v>
                </c:pt>
                <c:pt idx="125">
                  <c:v>136.83202502338852</c:v>
                </c:pt>
                <c:pt idx="126">
                  <c:v>137.69969589711843</c:v>
                </c:pt>
                <c:pt idx="127">
                  <c:v>138.5637158164549</c:v>
                </c:pt>
                <c:pt idx="128">
                  <c:v>139.4240632761163</c:v>
                </c:pt>
                <c:pt idx="129">
                  <c:v>140.28071781148589</c:v>
                </c:pt>
                <c:pt idx="130">
                  <c:v>141.13365997976882</c:v>
                </c:pt>
                <c:pt idx="131">
                  <c:v>141.98287134124223</c:v>
                </c:pt>
                <c:pt idx="132">
                  <c:v>142.82833444060705</c:v>
                </c:pt>
                <c:pt idx="133">
                  <c:v>143.67003278844965</c:v>
                </c:pt>
                <c:pt idx="134">
                  <c:v>144.50795084282055</c:v>
                </c:pt>
                <c:pt idx="135">
                  <c:v>145.34207399093793</c:v>
                </c:pt>
                <c:pt idx="136">
                  <c:v>146.17238853102216</c:v>
                </c:pt>
                <c:pt idx="137">
                  <c:v>146.99888165426847</c:v>
                </c:pt>
                <c:pt idx="138">
                  <c:v>147.82154142696339</c:v>
                </c:pt>
                <c:pt idx="139">
                  <c:v>148.64035677275086</c:v>
                </c:pt>
                <c:pt idx="140">
                  <c:v>149.4553174550536</c:v>
                </c:pt>
              </c:numCache>
            </c:numRef>
          </c:xVal>
          <c:yVal>
            <c:numRef>
              <c:f>'Growth curve'!$Q$3:$Q$143</c:f>
              <c:numCache>
                <c:formatCode>0.000</c:formatCode>
                <c:ptCount val="141"/>
                <c:pt idx="0">
                  <c:v>1.5328696829401105</c:v>
                </c:pt>
                <c:pt idx="1">
                  <c:v>1.5531399727855697</c:v>
                </c:pt>
                <c:pt idx="2">
                  <c:v>1.5733119496990975</c:v>
                </c:pt>
                <c:pt idx="3">
                  <c:v>1.5933768189515165</c:v>
                </c:pt>
                <c:pt idx="4">
                  <c:v>1.6133262252194589</c:v>
                </c:pt>
                <c:pt idx="5">
                  <c:v>1.6331522511306829</c:v>
                </c:pt>
                <c:pt idx="6">
                  <c:v>1.652847416298034</c:v>
                </c:pt>
                <c:pt idx="7">
                  <c:v>1.6724046766502068</c:v>
                </c:pt>
                <c:pt idx="8">
                  <c:v>1.6918174238936718</c:v>
                </c:pt>
                <c:pt idx="9">
                  <c:v>1.7110794849565418</c:v>
                </c:pt>
                <c:pt idx="10">
                  <c:v>1.7301851212878905</c:v>
                </c:pt>
                <c:pt idx="11">
                  <c:v>1.749129027900767</c:v>
                </c:pt>
                <c:pt idx="12">
                  <c:v>1.7679063320643911</c:v>
                </c:pt>
                <c:pt idx="13">
                  <c:v>1.7865125915648568</c:v>
                </c:pt>
                <c:pt idx="14">
                  <c:v>1.8049437924670366</c:v>
                </c:pt>
                <c:pt idx="15">
                  <c:v>1.8231963463238492</c:v>
                </c:pt>
                <c:pt idx="16">
                  <c:v>1.8412670867884802</c:v>
                </c:pt>
                <c:pt idx="17">
                  <c:v>1.8591532655982173</c:v>
                </c:pt>
                <c:pt idx="18">
                  <c:v>1.8768525479058344</c:v>
                </c:pt>
                <c:pt idx="19">
                  <c:v>1.8943630069455475</c:v>
                </c:pt>
                <c:pt idx="20">
                  <c:v>1.9116831180273706</c:v>
                </c:pt>
                <c:pt idx="21">
                  <c:v>1.9288117518618328</c:v>
                </c:pt>
                <c:pt idx="22">
                  <c:v>1.9457481672240746</c:v>
                </c:pt>
                <c:pt idx="23">
                  <c:v>1.9624920029721069</c:v>
                </c:pt>
                <c:pt idx="24">
                  <c:v>1.9790432694399354</c:v>
                </c:pt>
                <c:pt idx="25">
                  <c:v>1.9954023392312492</c:v>
                </c:pt>
                <c:pt idx="26">
                  <c:v>2.0115699374435252</c:v>
                </c:pt>
                <c:pt idx="27">
                  <c:v>2.0275471313567719</c:v>
                </c:pt>
                <c:pt idx="28">
                  <c:v>2.043335319623492</c:v>
                </c:pt>
                <c:pt idx="29">
                  <c:v>2.0589362210010655</c:v>
                </c:pt>
                <c:pt idx="30">
                  <c:v>2.0743518626670543</c:v>
                </c:pt>
                <c:pt idx="31">
                  <c:v>2.0895845681633713</c:v>
                </c:pt>
                <c:pt idx="32">
                  <c:v>2.10463694501329</c:v>
                </c:pt>
                <c:pt idx="33">
                  <c:v>2.1195118720581645</c:v>
                </c:pt>
                <c:pt idx="34">
                  <c:v>2.1342124865613581</c:v>
                </c:pt>
                <c:pt idx="35">
                  <c:v>2.1487421711244323</c:v>
                </c:pt>
                <c:pt idx="36">
                  <c:v>2.1631045404647642</c:v>
                </c:pt>
                <c:pt idx="37">
                  <c:v>2.1773034280982646</c:v>
                </c:pt>
                <c:pt idx="38">
                  <c:v>2.1913428729745252</c:v>
                </c:pt>
                <c:pt idx="39">
                  <c:v>2.2052271061067472</c:v>
                </c:pt>
                <c:pt idx="40">
                  <c:v>2.2189605372405508</c:v>
                </c:pt>
                <c:pt idx="41">
                  <c:v>2.2325477416015298</c:v>
                </c:pt>
                <c:pt idx="42">
                  <c:v>2.245993446761501</c:v>
                </c:pt>
                <c:pt idx="43">
                  <c:v>2.259302519661067</c:v>
                </c:pt>
                <c:pt idx="44">
                  <c:v>2.2724799538218599</c:v>
                </c:pt>
                <c:pt idx="45">
                  <c:v>2.285530856783959</c:v>
                </c:pt>
                <c:pt idx="46">
                  <c:v>2.2984604377970266</c:v>
                </c:pt>
                <c:pt idx="47">
                  <c:v>2.3112739957934885</c:v>
                </c:pt>
                <c:pt idx="48">
                  <c:v>2.323976907671375</c:v>
                </c:pt>
                <c:pt idx="49">
                  <c:v>2.3365746169071917</c:v>
                </c:pt>
                <c:pt idx="50">
                  <c:v>2.3490726225220073</c:v>
                </c:pt>
                <c:pt idx="51">
                  <c:v>2.361476468418243</c:v>
                </c:pt>
                <c:pt idx="52">
                  <c:v>2.3737917331022835</c:v>
                </c:pt>
                <c:pt idx="53">
                  <c:v>2.3860240198080902</c:v>
                </c:pt>
                <c:pt idx="54">
                  <c:v>2.3981789470312913</c:v>
                </c:pt>
                <c:pt idx="55">
                  <c:v>2.410262139483855</c:v>
                </c:pt>
                <c:pt idx="56">
                  <c:v>2.4222792194758727</c:v>
                </c:pt>
                <c:pt idx="57">
                  <c:v>2.4342357987283272</c:v>
                </c:pt>
                <c:pt idx="58">
                  <c:v>2.4461374706208194</c:v>
                </c:pt>
                <c:pt idx="59">
                  <c:v>2.4579898028739877</c:v>
                </c:pt>
                <c:pt idx="60">
                  <c:v>2.4697983306660571</c:v>
                </c:pt>
                <c:pt idx="61">
                  <c:v>2.4815685501812763</c:v>
                </c:pt>
                <c:pt idx="62">
                  <c:v>2.4933059125848915</c:v>
                </c:pt>
                <c:pt idx="63">
                  <c:v>2.5050158184205378</c:v>
                </c:pt>
                <c:pt idx="64">
                  <c:v>2.5167036124222326</c:v>
                </c:pt>
                <c:pt idx="65">
                  <c:v>2.5283745787325591</c:v>
                </c:pt>
                <c:pt idx="66">
                  <c:v>2.5400339365193769</c:v>
                </c:pt>
                <c:pt idx="67">
                  <c:v>2.5516868359786464</c:v>
                </c:pt>
                <c:pt idx="68">
                  <c:v>2.5633383547151465</c:v>
                </c:pt>
                <c:pt idx="69">
                  <c:v>2.5749934944866206</c:v>
                </c:pt>
                <c:pt idx="70">
                  <c:v>2.5866571783011327</c:v>
                </c:pt>
                <c:pt idx="71">
                  <c:v>2.5983342478537472</c:v>
                </c:pt>
                <c:pt idx="72">
                  <c:v>2.6100294612894803</c:v>
                </c:pt>
                <c:pt idx="73">
                  <c:v>2.6217474912791752</c:v>
                </c:pt>
                <c:pt idx="74">
                  <c:v>2.6334929233932485</c:v>
                </c:pt>
                <c:pt idx="75">
                  <c:v>2.6452702547620772</c:v>
                </c:pt>
                <c:pt idx="76">
                  <c:v>2.6570838930050158</c:v>
                </c:pt>
                <c:pt idx="77">
                  <c:v>2.6689381554169511</c:v>
                </c:pt>
                <c:pt idx="78">
                  <c:v>2.6808372683974548</c:v>
                </c:pt>
                <c:pt idx="79">
                  <c:v>2.6927853671075974</c:v>
                </c:pt>
                <c:pt idx="80">
                  <c:v>2.7047864953421108</c:v>
                </c:pt>
                <c:pt idx="81">
                  <c:v>2.7168446056016871</c:v>
                </c:pt>
                <c:pt idx="82">
                  <c:v>2.7289635593539163</c:v>
                </c:pt>
                <c:pt idx="83">
                  <c:v>2.741147127467543</c:v>
                </c:pt>
                <c:pt idx="84">
                  <c:v>2.7533989908091225</c:v>
                </c:pt>
                <c:pt idx="85">
                  <c:v>2.765722740989454</c:v>
                </c:pt>
                <c:pt idx="86">
                  <c:v>2.7781218812462405</c:v>
                </c:pt>
                <c:pt idx="87">
                  <c:v>2.7905998274528905</c:v>
                </c:pt>
                <c:pt idx="88">
                  <c:v>2.8031599092427264</c:v>
                </c:pt>
                <c:pt idx="89">
                  <c:v>2.8158053712358018</c:v>
                </c:pt>
                <c:pt idx="90">
                  <c:v>2.828539374359468</c:v>
                </c:pt>
                <c:pt idx="91">
                  <c:v>2.8413649972527191</c:v>
                </c:pt>
                <c:pt idx="92">
                  <c:v>2.8542852377454278</c:v>
                </c:pt>
                <c:pt idx="93">
                  <c:v>2.8673030144009513</c:v>
                </c:pt>
                <c:pt idx="94">
                  <c:v>2.8804211681179277</c:v>
                </c:pt>
                <c:pt idx="95">
                  <c:v>2.8936424637783968</c:v>
                </c:pt>
                <c:pt idx="96">
                  <c:v>2.9069695919396326</c:v>
                </c:pt>
                <c:pt idx="97">
                  <c:v>2.9204051705577525</c:v>
                </c:pt>
                <c:pt idx="98">
                  <c:v>2.9339517467399787</c:v>
                </c:pt>
                <c:pt idx="99">
                  <c:v>2.9476117985181363</c:v>
                </c:pt>
                <c:pt idx="100">
                  <c:v>2.9613877366361274</c:v>
                </c:pt>
                <c:pt idx="101">
                  <c:v>2.9752819063488007</c:v>
                </c:pt>
                <c:pt idx="102">
                  <c:v>2.9892965892243577</c:v>
                </c:pt>
                <c:pt idx="103">
                  <c:v>3.0034340049474433</c:v>
                </c:pt>
                <c:pt idx="104">
                  <c:v>3.0176963131176437</c:v>
                </c:pt>
                <c:pt idx="105">
                  <c:v>3.0320856150401605</c:v>
                </c:pt>
                <c:pt idx="106">
                  <c:v>3.0466039555040805</c:v>
                </c:pt>
                <c:pt idx="107">
                  <c:v>3.0612533245462603</c:v>
                </c:pt>
                <c:pt idx="108">
                  <c:v>3.0760356591957754</c:v>
                </c:pt>
                <c:pt idx="109">
                  <c:v>3.0909528451992418</c:v>
                </c:pt>
                <c:pt idx="110">
                  <c:v>3.1060067187214244</c:v>
                </c:pt>
                <c:pt idx="111">
                  <c:v>3.1211990680203145</c:v>
                </c:pt>
                <c:pt idx="112">
                  <c:v>3.1365316350964076</c:v>
                </c:pt>
                <c:pt idx="113">
                  <c:v>3.1520061173107976</c:v>
                </c:pt>
                <c:pt idx="114">
                  <c:v>3.1676241689736244</c:v>
                </c:pt>
                <c:pt idx="115">
                  <c:v>3.1833874029010625</c:v>
                </c:pt>
                <c:pt idx="116">
                  <c:v>3.1992973919386722</c:v>
                </c:pt>
                <c:pt idx="117">
                  <c:v>3.2153556704509434</c:v>
                </c:pt>
                <c:pt idx="118">
                  <c:v>3.2315637357764588</c:v>
                </c:pt>
                <c:pt idx="119">
                  <c:v>3.2479230496478477</c:v>
                </c:pt>
                <c:pt idx="120">
                  <c:v>3.2644350395760537</c:v>
                </c:pt>
                <c:pt idx="121">
                  <c:v>3.2811011001982009</c:v>
                </c:pt>
                <c:pt idx="122">
                  <c:v>3.2979225945904305</c:v>
                </c:pt>
                <c:pt idx="123">
                  <c:v>3.3149008555434301</c:v>
                </c:pt>
                <c:pt idx="124">
                  <c:v>3.3320371868022058</c:v>
                </c:pt>
                <c:pt idx="125">
                  <c:v>3.3493328642698303</c:v>
                </c:pt>
                <c:pt idx="126">
                  <c:v>3.3667891371751963</c:v>
                </c:pt>
                <c:pt idx="127">
                  <c:v>3.3844072292056593</c:v>
                </c:pt>
                <c:pt idx="128">
                  <c:v>3.4021883396035246</c:v>
                </c:pt>
                <c:pt idx="129">
                  <c:v>3.4201336442283754</c:v>
                </c:pt>
                <c:pt idx="130">
                  <c:v>3.4382442965851343</c:v>
                </c:pt>
                <c:pt idx="131">
                  <c:v>3.4565214288181556</c:v>
                </c:pt>
                <c:pt idx="132">
                  <c:v>3.4749661526711639</c:v>
                </c:pt>
                <c:pt idx="133">
                  <c:v>3.4935795604165043</c:v>
                </c:pt>
                <c:pt idx="134">
                  <c:v>3.5123627257496808</c:v>
                </c:pt>
                <c:pt idx="135">
                  <c:v>3.531316704655743</c:v>
                </c:pt>
                <c:pt idx="136">
                  <c:v>3.5504425362408574</c:v>
                </c:pt>
                <c:pt idx="137">
                  <c:v>3.5697412435385205</c:v>
                </c:pt>
                <c:pt idx="138">
                  <c:v>3.5892138342820346</c:v>
                </c:pt>
                <c:pt idx="139">
                  <c:v>3.6088613016517965</c:v>
                </c:pt>
              </c:numCache>
            </c:numRef>
          </c:yVal>
          <c:smooth val="0"/>
          <c:extLst>
            <c:ext xmlns:c16="http://schemas.microsoft.com/office/drawing/2014/chart" uri="{C3380CC4-5D6E-409C-BE32-E72D297353CC}">
              <c16:uniqueId val="{00000001-0C5C-4D27-886A-FB5F19FF8A1D}"/>
            </c:ext>
          </c:extLst>
        </c:ser>
        <c:dLbls>
          <c:showLegendKey val="0"/>
          <c:showVal val="0"/>
          <c:showCatName val="0"/>
          <c:showSerName val="0"/>
          <c:showPercent val="0"/>
          <c:showBubbleSize val="0"/>
        </c:dLbls>
        <c:axId val="75656576"/>
        <c:axId val="75666560"/>
      </c:scatterChart>
      <c:valAx>
        <c:axId val="75656576"/>
        <c:scaling>
          <c:orientation val="minMax"/>
        </c:scaling>
        <c:delete val="0"/>
        <c:axPos val="b"/>
        <c:numFmt formatCode="0.00" sourceLinked="1"/>
        <c:majorTickMark val="out"/>
        <c:minorTickMark val="none"/>
        <c:tickLblPos val="nextTo"/>
        <c:crossAx val="75666560"/>
        <c:crosses val="autoZero"/>
        <c:crossBetween val="midCat"/>
      </c:valAx>
      <c:valAx>
        <c:axId val="75666560"/>
        <c:scaling>
          <c:orientation val="minMax"/>
        </c:scaling>
        <c:delete val="0"/>
        <c:axPos val="l"/>
        <c:majorGridlines/>
        <c:numFmt formatCode="0.000" sourceLinked="1"/>
        <c:majorTickMark val="out"/>
        <c:minorTickMark val="none"/>
        <c:tickLblPos val="nextTo"/>
        <c:crossAx val="75656576"/>
        <c:crosses val="autoZero"/>
        <c:crossBetween val="midCat"/>
      </c:valAx>
    </c:plotArea>
    <c:legend>
      <c:legendPos val="r"/>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576941</xdr:colOff>
      <xdr:row>0</xdr:row>
      <xdr:rowOff>1</xdr:rowOff>
    </xdr:from>
    <xdr:to>
      <xdr:col>10</xdr:col>
      <xdr:colOff>0</xdr:colOff>
      <xdr:row>8</xdr:row>
      <xdr:rowOff>54429</xdr:rowOff>
    </xdr:to>
    <xdr:pic>
      <xdr:nvPicPr>
        <xdr:cNvPr id="2" name="Picture 1" descr="Economic model banner.jpg">
          <a:extLst>
            <a:ext uri="{FF2B5EF4-FFF2-40B4-BE49-F238E27FC236}">
              <a16:creationId xmlns:a16="http://schemas.microsoft.com/office/drawing/2014/main" id="{142C4A02-A026-479D-91D9-E717A1F55FD8}"/>
            </a:ext>
          </a:extLst>
        </xdr:cNvPr>
        <xdr:cNvPicPr>
          <a:picLocks noChangeAspect="1"/>
        </xdr:cNvPicPr>
      </xdr:nvPicPr>
      <xdr:blipFill>
        <a:blip xmlns:r="http://schemas.openxmlformats.org/officeDocument/2006/relationships" r:embed="rId1" cstate="print"/>
        <a:stretch>
          <a:fillRect/>
        </a:stretch>
      </xdr:blipFill>
      <xdr:spPr>
        <a:xfrm>
          <a:off x="576941" y="1"/>
          <a:ext cx="7446919" cy="1517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576941</xdr:colOff>
      <xdr:row>0</xdr:row>
      <xdr:rowOff>1</xdr:rowOff>
    </xdr:from>
    <xdr:to>
      <xdr:col>10</xdr:col>
      <xdr:colOff>0</xdr:colOff>
      <xdr:row>8</xdr:row>
      <xdr:rowOff>54429</xdr:rowOff>
    </xdr:to>
    <xdr:pic>
      <xdr:nvPicPr>
        <xdr:cNvPr id="2" name="Picture 1" descr="Economic model banner.jpg">
          <a:extLst>
            <a:ext uri="{FF2B5EF4-FFF2-40B4-BE49-F238E27FC236}">
              <a16:creationId xmlns:a16="http://schemas.microsoft.com/office/drawing/2014/main" id="{4167EECE-31B3-4C2C-9494-4AA71B5E5B45}"/>
            </a:ext>
          </a:extLst>
        </xdr:cNvPr>
        <xdr:cNvPicPr>
          <a:picLocks noChangeAspect="1"/>
        </xdr:cNvPicPr>
      </xdr:nvPicPr>
      <xdr:blipFill>
        <a:blip xmlns:r="http://schemas.openxmlformats.org/officeDocument/2006/relationships" r:embed="rId1" cstate="print"/>
        <a:stretch>
          <a:fillRect/>
        </a:stretch>
      </xdr:blipFill>
      <xdr:spPr>
        <a:xfrm>
          <a:off x="576941" y="1"/>
          <a:ext cx="7446919" cy="1517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576941</xdr:colOff>
      <xdr:row>0</xdr:row>
      <xdr:rowOff>1</xdr:rowOff>
    </xdr:from>
    <xdr:to>
      <xdr:col>10</xdr:col>
      <xdr:colOff>0</xdr:colOff>
      <xdr:row>8</xdr:row>
      <xdr:rowOff>54429</xdr:rowOff>
    </xdr:to>
    <xdr:pic>
      <xdr:nvPicPr>
        <xdr:cNvPr id="2" name="Picture 1" descr="Economic model banner.jpg">
          <a:extLst>
            <a:ext uri="{FF2B5EF4-FFF2-40B4-BE49-F238E27FC236}">
              <a16:creationId xmlns:a16="http://schemas.microsoft.com/office/drawing/2014/main" id="{7A6F960F-145E-4152-827A-93383F677F8D}"/>
            </a:ext>
          </a:extLst>
        </xdr:cNvPr>
        <xdr:cNvPicPr>
          <a:picLocks noChangeAspect="1"/>
        </xdr:cNvPicPr>
      </xdr:nvPicPr>
      <xdr:blipFill>
        <a:blip xmlns:r="http://schemas.openxmlformats.org/officeDocument/2006/relationships" r:embed="rId1" cstate="print"/>
        <a:stretch>
          <a:fillRect/>
        </a:stretch>
      </xdr:blipFill>
      <xdr:spPr>
        <a:xfrm>
          <a:off x="576941" y="1"/>
          <a:ext cx="7446919" cy="151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576941</xdr:colOff>
      <xdr:row>0</xdr:row>
      <xdr:rowOff>1</xdr:rowOff>
    </xdr:from>
    <xdr:to>
      <xdr:col>10</xdr:col>
      <xdr:colOff>0</xdr:colOff>
      <xdr:row>8</xdr:row>
      <xdr:rowOff>54429</xdr:rowOff>
    </xdr:to>
    <xdr:pic>
      <xdr:nvPicPr>
        <xdr:cNvPr id="2" name="Picture 1" descr="Economic model banner.jpg">
          <a:extLst>
            <a:ext uri="{FF2B5EF4-FFF2-40B4-BE49-F238E27FC236}">
              <a16:creationId xmlns:a16="http://schemas.microsoft.com/office/drawing/2014/main" id="{50650CAC-5BFC-4105-9E74-F3BD06E434A2}"/>
            </a:ext>
          </a:extLst>
        </xdr:cNvPr>
        <xdr:cNvPicPr>
          <a:picLocks noChangeAspect="1"/>
        </xdr:cNvPicPr>
      </xdr:nvPicPr>
      <xdr:blipFill>
        <a:blip xmlns:r="http://schemas.openxmlformats.org/officeDocument/2006/relationships" r:embed="rId1" cstate="print"/>
        <a:stretch>
          <a:fillRect/>
        </a:stretch>
      </xdr:blipFill>
      <xdr:spPr>
        <a:xfrm>
          <a:off x="576941" y="1"/>
          <a:ext cx="7444323" cy="1534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137160</xdr:colOff>
      <xdr:row>140</xdr:row>
      <xdr:rowOff>160020</xdr:rowOff>
    </xdr:from>
    <xdr:to>
      <xdr:col>15</xdr:col>
      <xdr:colOff>441960</xdr:colOff>
      <xdr:row>155</xdr:row>
      <xdr:rowOff>160020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419100</xdr:colOff>
      <xdr:row>154</xdr:row>
      <xdr:rowOff>53340</xdr:rowOff>
    </xdr:from>
    <xdr:to>
      <xdr:col>15</xdr:col>
      <xdr:colOff>114300</xdr:colOff>
      <xdr:row>169</xdr:row>
      <xdr:rowOff>53340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60960</xdr:colOff>
      <xdr:row>123</xdr:row>
      <xdr:rowOff>152400</xdr:rowOff>
    </xdr:from>
    <xdr:to>
      <xdr:col>19</xdr:col>
      <xdr:colOff>365760</xdr:colOff>
      <xdr:row>137</xdr:row>
      <xdr:rowOff>121920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96820-CCB1-4D00-9BB9-D4F3856C4166}">
  <dimension ref="A1:AL75"/>
  <sheetViews>
    <sheetView showGridLines="0" showRowColHeaders="0" zoomScale="80" zoomScaleNormal="80" workbookViewId="0">
      <selection activeCell="B65" sqref="B65:J68"/>
    </sheetView>
  </sheetViews>
  <sheetFormatPr defaultColWidth="8.88671875" defaultRowHeight="14.4"/>
  <cols>
    <col min="1" max="1" width="8.88671875" style="1"/>
    <col min="2" max="2" width="9.33203125" style="1" customWidth="1"/>
    <col min="3" max="3" width="8.88671875" style="1" customWidth="1"/>
    <col min="4" max="4" width="8.6640625" style="1" customWidth="1"/>
    <col min="5" max="5" width="19.109375" style="1" customWidth="1"/>
    <col min="6" max="6" width="14.109375" style="1" customWidth="1"/>
    <col min="7" max="7" width="16.5546875" style="1" customWidth="1"/>
    <col min="8" max="9" width="11.33203125" style="1" customWidth="1"/>
    <col min="10" max="10" width="8.77734375" style="1" bestFit="1" customWidth="1"/>
    <col min="11" max="11" width="9.88671875" style="1" hidden="1" customWidth="1"/>
    <col min="12" max="12" width="8.88671875" style="1" hidden="1" customWidth="1"/>
    <col min="13" max="13" width="10.33203125" style="1" hidden="1" customWidth="1"/>
    <col min="14" max="14" width="8" style="1" hidden="1" customWidth="1"/>
    <col min="15" max="15" width="8.88671875" style="1" hidden="1" customWidth="1"/>
    <col min="16" max="16" width="12.6640625" style="1" hidden="1" customWidth="1"/>
    <col min="17" max="18" width="5.6640625" style="1" hidden="1" customWidth="1"/>
    <col min="19" max="19" width="10.6640625" style="1" hidden="1" customWidth="1"/>
    <col min="20" max="20" width="12" style="1" hidden="1" customWidth="1"/>
    <col min="21" max="23" width="8.88671875" style="1" hidden="1" customWidth="1"/>
    <col min="24" max="24" width="9.6640625" style="1" hidden="1" customWidth="1"/>
    <col min="25" max="25" width="8.88671875" style="1" hidden="1" customWidth="1"/>
    <col min="26" max="26" width="15.5546875" style="1" hidden="1" customWidth="1"/>
    <col min="27" max="27" width="12" style="1" hidden="1" customWidth="1"/>
    <col min="28" max="35" width="8.88671875" style="1" customWidth="1"/>
    <col min="36" max="16384" width="8.88671875" style="1"/>
  </cols>
  <sheetData>
    <row r="1" spans="1:38">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38">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8">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8">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8">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8">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8" spans="1:38">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ht="15" thickBot="1">
      <c r="A10" s="27"/>
      <c r="B10" s="28" t="s">
        <v>18</v>
      </c>
      <c r="C10" s="28"/>
      <c r="D10" s="28"/>
      <c r="E10" s="28"/>
      <c r="F10" s="29"/>
      <c r="G10" s="29"/>
      <c r="H10" s="29"/>
      <c r="I10" s="29"/>
      <c r="J10" s="29"/>
      <c r="K10" s="27"/>
      <c r="L10" s="27"/>
      <c r="M10" s="27"/>
      <c r="N10" s="27"/>
      <c r="O10" s="27"/>
      <c r="P10" s="27"/>
      <c r="Q10" s="27"/>
      <c r="R10" s="27"/>
      <c r="S10" s="27"/>
      <c r="T10" s="27"/>
      <c r="U10" s="27"/>
      <c r="V10" s="27"/>
      <c r="W10" s="27"/>
      <c r="X10" s="27"/>
      <c r="Y10" s="27"/>
      <c r="Z10" s="27" t="s">
        <v>78</v>
      </c>
      <c r="AA10" s="27"/>
      <c r="AB10" s="27"/>
      <c r="AC10" s="27"/>
      <c r="AD10" s="27"/>
      <c r="AE10" s="27"/>
      <c r="AF10" s="27"/>
      <c r="AG10" s="27"/>
      <c r="AH10" s="27"/>
      <c r="AI10" s="27"/>
      <c r="AJ10" s="27"/>
      <c r="AK10" s="27"/>
      <c r="AL10" s="27"/>
    </row>
    <row r="11" spans="1:38">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hidden="1">
      <c r="A12" s="27"/>
      <c r="B12" s="27" t="s">
        <v>77</v>
      </c>
      <c r="C12" s="27"/>
      <c r="D12" s="27"/>
      <c r="E12" s="30">
        <f>1.98/2.2046</f>
        <v>0.89812210831896933</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hidden="1">
      <c r="A13" s="27"/>
      <c r="B13" s="27" t="s">
        <v>1</v>
      </c>
      <c r="C13" s="27"/>
      <c r="D13" s="27"/>
      <c r="E13" s="30">
        <v>2.6</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c r="A14" s="27"/>
      <c r="B14" s="27" t="s">
        <v>71</v>
      </c>
      <c r="C14" s="27"/>
      <c r="D14" s="27"/>
      <c r="E14" s="31" t="s">
        <v>73</v>
      </c>
      <c r="F14" s="27"/>
      <c r="G14" s="27"/>
      <c r="H14" s="27"/>
      <c r="I14" s="27"/>
      <c r="J14" s="27"/>
      <c r="K14" s="27"/>
      <c r="L14" s="27"/>
      <c r="M14" s="5">
        <f>E15/100*2.204622</f>
        <v>1.0494000720000001</v>
      </c>
      <c r="N14" s="27"/>
      <c r="O14" s="27"/>
      <c r="P14" s="27"/>
      <c r="Q14" s="27"/>
      <c r="R14" s="27"/>
      <c r="S14" s="27"/>
      <c r="T14" s="27"/>
      <c r="U14" s="27"/>
      <c r="V14" s="27"/>
      <c r="W14" s="27"/>
      <c r="X14" s="27"/>
      <c r="Y14" s="27"/>
      <c r="Z14" s="27" t="s">
        <v>56</v>
      </c>
      <c r="AA14" s="27" t="e">
        <f>((0.000031*X22^2)-(0.0176*X22)+4.5523)</f>
        <v>#VALUE!</v>
      </c>
      <c r="AB14" s="27"/>
      <c r="AC14" s="27"/>
      <c r="AD14" s="27"/>
      <c r="AE14" s="27"/>
      <c r="AF14" s="27"/>
      <c r="AG14" s="27"/>
      <c r="AH14" s="27"/>
      <c r="AI14" s="27"/>
      <c r="AJ14" s="27"/>
      <c r="AK14" s="27"/>
      <c r="AL14" s="27"/>
    </row>
    <row r="15" spans="1:38">
      <c r="A15" s="27"/>
      <c r="B15" s="27" t="s">
        <v>95</v>
      </c>
      <c r="C15" s="27"/>
      <c r="D15" s="27"/>
      <c r="E15" s="5">
        <v>47.6</v>
      </c>
      <c r="F15" s="27"/>
      <c r="G15" s="27"/>
      <c r="H15" s="32"/>
      <c r="I15" s="27"/>
      <c r="J15" s="27"/>
      <c r="K15" s="27"/>
      <c r="L15" s="27"/>
      <c r="M15" s="27"/>
      <c r="N15" s="27"/>
      <c r="O15" s="27"/>
      <c r="P15" s="27"/>
      <c r="Q15" s="27"/>
      <c r="R15" s="27"/>
      <c r="S15" s="27"/>
      <c r="T15" s="27"/>
      <c r="U15" s="27"/>
      <c r="V15" s="27"/>
      <c r="W15" s="27"/>
      <c r="X15" s="27"/>
      <c r="Y15" s="27"/>
      <c r="Z15" s="27" t="s">
        <v>55</v>
      </c>
      <c r="AA15" s="27" t="e">
        <f>((0.000043*X22^2)-(0.02154*X22)+4.9538)</f>
        <v>#VALUE!</v>
      </c>
      <c r="AB15" s="27"/>
      <c r="AC15" s="27"/>
      <c r="AD15" s="27"/>
      <c r="AE15" s="27"/>
      <c r="AF15" s="27"/>
      <c r="AG15" s="27"/>
      <c r="AH15" s="27"/>
      <c r="AI15" s="27"/>
      <c r="AJ15" s="27"/>
      <c r="AK15" s="27"/>
      <c r="AL15" s="27"/>
    </row>
    <row r="16" spans="1:38">
      <c r="A16" s="27"/>
      <c r="B16" s="27" t="s">
        <v>8</v>
      </c>
      <c r="C16" s="27"/>
      <c r="D16" s="27"/>
      <c r="E16" s="5">
        <v>55</v>
      </c>
      <c r="F16" s="27"/>
      <c r="G16" s="27"/>
      <c r="H16" s="27"/>
      <c r="I16" s="27"/>
      <c r="J16" s="27"/>
      <c r="K16" s="27"/>
      <c r="L16" s="27"/>
      <c r="M16" s="27"/>
      <c r="N16" s="27"/>
      <c r="O16" s="33"/>
      <c r="P16" s="33"/>
      <c r="Q16" s="27"/>
      <c r="R16" s="27"/>
      <c r="S16" s="27"/>
      <c r="T16" s="27"/>
      <c r="U16" s="27"/>
      <c r="V16" s="27"/>
      <c r="W16" s="27"/>
      <c r="X16" s="27"/>
      <c r="Y16" s="27"/>
      <c r="Z16" s="27" t="s">
        <v>72</v>
      </c>
      <c r="AA16" s="27" t="e">
        <f>IF(AA14*((0.0023*M22)+0.9644)&lt;AA15,AA15,AA14*((0.0023*M22)+0.9644))</f>
        <v>#VALUE!</v>
      </c>
      <c r="AB16" s="27"/>
      <c r="AC16" s="27"/>
      <c r="AD16" s="27"/>
      <c r="AE16" s="27"/>
      <c r="AF16" s="27"/>
      <c r="AG16" s="27"/>
      <c r="AH16" s="27"/>
      <c r="AI16" s="27"/>
      <c r="AJ16" s="27"/>
      <c r="AK16" s="27"/>
      <c r="AL16" s="27"/>
    </row>
    <row r="17" spans="1:38">
      <c r="A17" s="27"/>
      <c r="B17" s="27" t="s">
        <v>17</v>
      </c>
      <c r="C17" s="27"/>
      <c r="D17" s="27"/>
      <c r="E17" s="5">
        <v>0.12</v>
      </c>
      <c r="F17" s="27"/>
      <c r="G17" s="27"/>
      <c r="H17" s="27"/>
      <c r="I17" s="27"/>
      <c r="J17" s="27"/>
      <c r="K17" s="27"/>
      <c r="L17" s="27"/>
      <c r="M17" s="27"/>
      <c r="N17" s="27"/>
      <c r="O17" s="33"/>
      <c r="P17" s="33"/>
      <c r="Q17" s="27"/>
      <c r="R17" s="27"/>
      <c r="S17" s="27"/>
      <c r="T17" s="27"/>
      <c r="U17" s="27"/>
      <c r="V17" s="27"/>
      <c r="W17" s="34"/>
      <c r="X17" s="27"/>
      <c r="Y17" s="27"/>
      <c r="Z17" s="27" t="s">
        <v>73</v>
      </c>
      <c r="AA17" s="27" t="e">
        <f>AVERAGE(AA14,AA15)</f>
        <v>#VALUE!</v>
      </c>
      <c r="AB17" s="27"/>
      <c r="AC17" s="27"/>
      <c r="AD17" s="27"/>
      <c r="AE17" s="27"/>
      <c r="AF17" s="27"/>
      <c r="AG17" s="27"/>
      <c r="AH17" s="27"/>
      <c r="AI17" s="27"/>
      <c r="AJ17" s="27"/>
      <c r="AK17" s="27"/>
      <c r="AL17" s="27"/>
    </row>
    <row r="18" spans="1:38">
      <c r="A18" s="27"/>
      <c r="B18" s="27" t="s">
        <v>9</v>
      </c>
      <c r="C18" s="27"/>
      <c r="D18" s="27"/>
      <c r="E18" s="5">
        <v>14</v>
      </c>
      <c r="F18" s="27"/>
      <c r="G18" s="27"/>
      <c r="H18" s="27"/>
      <c r="I18" s="27"/>
      <c r="J18" s="27"/>
      <c r="K18" s="27"/>
      <c r="L18" s="27"/>
      <c r="M18" s="27"/>
      <c r="N18" s="27"/>
      <c r="O18" s="33"/>
      <c r="P18" s="33"/>
      <c r="Q18" s="27"/>
      <c r="R18" s="27"/>
      <c r="S18" s="27"/>
      <c r="T18" s="35"/>
      <c r="U18" s="27"/>
      <c r="V18" s="35"/>
      <c r="W18" s="34"/>
      <c r="X18" s="27"/>
      <c r="Y18" s="27"/>
      <c r="Z18" s="27" t="s">
        <v>74</v>
      </c>
      <c r="AA18" s="27" t="e">
        <f>AVERAGE(AA16,AA15)</f>
        <v>#VALUE!</v>
      </c>
      <c r="AB18" s="27"/>
      <c r="AC18" s="27"/>
      <c r="AD18" s="27"/>
      <c r="AE18" s="27"/>
      <c r="AF18" s="27"/>
      <c r="AG18" s="27"/>
      <c r="AH18" s="27"/>
      <c r="AI18" s="27"/>
      <c r="AJ18" s="27"/>
      <c r="AK18" s="27"/>
      <c r="AL18" s="27"/>
    </row>
    <row r="19" spans="1:38">
      <c r="A19" s="27"/>
      <c r="B19" s="27"/>
      <c r="C19" s="27"/>
      <c r="D19" s="27"/>
      <c r="E19" s="27"/>
      <c r="F19" s="27"/>
      <c r="G19" s="27"/>
      <c r="H19" s="27"/>
      <c r="I19" s="27"/>
      <c r="J19" s="27"/>
      <c r="K19" s="36"/>
      <c r="L19" s="36"/>
      <c r="M19" s="36"/>
      <c r="N19" s="36"/>
      <c r="O19" s="36"/>
      <c r="P19" s="36"/>
      <c r="Q19" s="36"/>
      <c r="R19" s="36"/>
      <c r="S19" s="27"/>
      <c r="T19" s="35"/>
      <c r="U19" s="27"/>
      <c r="V19" s="35"/>
      <c r="W19" s="34"/>
      <c r="X19" s="27"/>
      <c r="Y19" s="27"/>
      <c r="Z19" s="27"/>
      <c r="AA19" s="27"/>
      <c r="AB19" s="27"/>
      <c r="AC19" s="27"/>
      <c r="AD19" s="27"/>
      <c r="AE19" s="27"/>
      <c r="AF19" s="27"/>
      <c r="AG19" s="27"/>
      <c r="AH19" s="27"/>
      <c r="AI19" s="27"/>
      <c r="AJ19" s="27"/>
      <c r="AK19" s="27"/>
      <c r="AL19" s="27"/>
    </row>
    <row r="20" spans="1:38" ht="15" thickBot="1">
      <c r="A20" s="27"/>
      <c r="B20" s="29"/>
      <c r="C20" s="29"/>
      <c r="D20" s="29"/>
      <c r="E20" s="29"/>
      <c r="F20" s="118" t="s">
        <v>83</v>
      </c>
      <c r="G20" s="118"/>
      <c r="H20" s="29"/>
      <c r="I20" s="119" t="s">
        <v>16</v>
      </c>
      <c r="J20" s="119"/>
      <c r="K20" s="36"/>
      <c r="L20" s="36"/>
      <c r="M20" s="36"/>
      <c r="N20" s="36"/>
      <c r="O20" s="36"/>
      <c r="P20" s="36"/>
      <c r="Q20" s="36"/>
      <c r="R20" s="36"/>
      <c r="S20" s="27"/>
      <c r="T20" s="35"/>
      <c r="U20" s="27"/>
      <c r="V20" s="35"/>
      <c r="W20" s="34"/>
      <c r="X20" s="27"/>
      <c r="Y20" s="27"/>
      <c r="Z20" s="27" t="s">
        <v>79</v>
      </c>
      <c r="AA20" s="27"/>
      <c r="AB20" s="27"/>
      <c r="AC20" s="27"/>
      <c r="AD20" s="27"/>
      <c r="AE20" s="27"/>
      <c r="AF20" s="27"/>
      <c r="AG20" s="27"/>
      <c r="AH20" s="27"/>
      <c r="AI20" s="27"/>
      <c r="AJ20" s="27"/>
      <c r="AK20" s="27"/>
      <c r="AL20" s="27"/>
    </row>
    <row r="21" spans="1:38">
      <c r="A21" s="27"/>
      <c r="B21" s="27"/>
      <c r="C21" s="37" t="s">
        <v>97</v>
      </c>
      <c r="D21" s="38"/>
      <c r="E21" s="116" t="s">
        <v>99</v>
      </c>
      <c r="F21" s="39" t="s">
        <v>6</v>
      </c>
      <c r="G21" s="40" t="s">
        <v>7</v>
      </c>
      <c r="H21" s="27"/>
      <c r="I21" s="41" t="s">
        <v>6</v>
      </c>
      <c r="J21" s="42" t="s">
        <v>7</v>
      </c>
      <c r="K21" s="33"/>
      <c r="L21" s="36"/>
      <c r="M21" s="36" t="s">
        <v>65</v>
      </c>
      <c r="N21" s="36" t="s">
        <v>98</v>
      </c>
      <c r="O21" s="36"/>
      <c r="P21" s="36"/>
      <c r="Q21" s="36" t="s">
        <v>66</v>
      </c>
      <c r="R21" s="36" t="s">
        <v>67</v>
      </c>
      <c r="S21" s="36" t="s">
        <v>68</v>
      </c>
      <c r="T21" s="35" t="s">
        <v>69</v>
      </c>
      <c r="U21" s="27"/>
      <c r="V21" s="35"/>
      <c r="W21" s="34"/>
      <c r="X21" s="27" t="s">
        <v>75</v>
      </c>
      <c r="Y21" s="27"/>
      <c r="Z21" s="27" t="s">
        <v>56</v>
      </c>
      <c r="AA21" s="27" t="e">
        <f>((0.000031*X23^2)-(0.0176*X23)+4.5523)</f>
        <v>#VALUE!</v>
      </c>
      <c r="AB21" s="27"/>
      <c r="AC21" s="27"/>
      <c r="AD21" s="27"/>
      <c r="AE21" s="27"/>
      <c r="AF21" s="27"/>
      <c r="AG21" s="27"/>
      <c r="AH21" s="27"/>
      <c r="AI21" s="27"/>
      <c r="AJ21" s="27"/>
      <c r="AK21" s="27"/>
      <c r="AL21" s="27"/>
    </row>
    <row r="22" spans="1:38">
      <c r="A22" s="27"/>
      <c r="B22" s="115"/>
      <c r="C22" s="155"/>
      <c r="D22" s="155"/>
      <c r="E22" s="156"/>
      <c r="F22" s="117" t="str">
        <f>IFERROR(VLOOKUP($E$14,$Z$14:$AA$18,2,FALSE)*E22*2.204622/10000,"")</f>
        <v/>
      </c>
      <c r="G22" s="6"/>
      <c r="H22" s="27"/>
      <c r="I22" s="157"/>
      <c r="J22" s="6"/>
      <c r="K22" s="44" t="str">
        <f t="shared" ref="K22:K29" si="0">IFERROR(I22-F22,"")</f>
        <v/>
      </c>
      <c r="L22" s="45"/>
      <c r="M22" s="46" t="e">
        <f>IFERROR(AVERAGE(C22:D22),"")/2.204622</f>
        <v>#VALUE!</v>
      </c>
      <c r="N22" s="46">
        <f t="shared" ref="N22:N28" si="1">IF(D22-C22=0,0,D22-C22)</f>
        <v>0</v>
      </c>
      <c r="O22" s="45"/>
      <c r="P22" s="34" t="s">
        <v>87</v>
      </c>
      <c r="Q22" s="47" t="str">
        <f t="shared" ref="Q22:Q28" si="2">IFERROR(0.000001*$M22^3-0.0003*$M22^2+0.038*$M22+0.8558,"")</f>
        <v/>
      </c>
      <c r="R22" s="47" t="str">
        <f t="shared" ref="R22:R28" si="3">IFERROR(Q22/G38,"")</f>
        <v/>
      </c>
      <c r="S22" s="48" t="str">
        <f>IFERROR(Q22*N22*G22/2000,"")</f>
        <v/>
      </c>
      <c r="T22" s="48" t="str">
        <f>IFERROR(R22*N22*J22/2000,"")</f>
        <v/>
      </c>
      <c r="U22" s="27"/>
      <c r="V22" s="35"/>
      <c r="W22" s="34" t="s">
        <v>87</v>
      </c>
      <c r="X22" s="49" t="str">
        <f>IFERROR(M22*2.204622,"")</f>
        <v/>
      </c>
      <c r="Y22" s="27"/>
      <c r="Z22" s="27" t="s">
        <v>55</v>
      </c>
      <c r="AA22" s="27" t="e">
        <f>((0.000043*X23^2)-(0.02154*X23)+4.9538)</f>
        <v>#VALUE!</v>
      </c>
      <c r="AB22" s="27"/>
      <c r="AC22" s="27"/>
      <c r="AD22" s="27"/>
      <c r="AE22" s="27"/>
      <c r="AF22" s="27"/>
      <c r="AG22" s="27"/>
      <c r="AH22" s="27"/>
      <c r="AI22" s="27"/>
      <c r="AJ22" s="27"/>
      <c r="AK22" s="27"/>
      <c r="AL22" s="27"/>
    </row>
    <row r="23" spans="1:38">
      <c r="A23" s="27"/>
      <c r="B23" s="115"/>
      <c r="C23" s="155"/>
      <c r="D23" s="155"/>
      <c r="E23" s="156"/>
      <c r="F23" s="117" t="str">
        <f>IFERROR(VLOOKUP($E$14,$Z$21:$AA$25,2,FALSE)*E23*2.204622/10000,"")</f>
        <v/>
      </c>
      <c r="G23" s="6"/>
      <c r="H23" s="27"/>
      <c r="I23" s="157"/>
      <c r="J23" s="6"/>
      <c r="K23" s="44" t="str">
        <f t="shared" si="0"/>
        <v/>
      </c>
      <c r="L23" s="45"/>
      <c r="M23" s="46" t="e">
        <f t="shared" ref="M23:M28" si="4">IFERROR(AVERAGE(C23:D23),"")/2.204622</f>
        <v>#VALUE!</v>
      </c>
      <c r="N23" s="46">
        <f t="shared" si="1"/>
        <v>0</v>
      </c>
      <c r="O23" s="45"/>
      <c r="P23" s="34" t="s">
        <v>88</v>
      </c>
      <c r="Q23" s="47" t="str">
        <f t="shared" si="2"/>
        <v/>
      </c>
      <c r="R23" s="47" t="str">
        <f t="shared" si="3"/>
        <v/>
      </c>
      <c r="S23" s="48" t="str">
        <f t="shared" ref="S23:S28" si="5">IFERROR(Q23*N23*G23/2000,"")</f>
        <v/>
      </c>
      <c r="T23" s="48" t="str">
        <f t="shared" ref="T23:T28" si="6">IFERROR(R23*N23*J23/2000,"")</f>
        <v/>
      </c>
      <c r="U23" s="27"/>
      <c r="V23" s="27"/>
      <c r="W23" s="34" t="s">
        <v>88</v>
      </c>
      <c r="X23" s="49" t="str">
        <f>IFERROR(M23*2.204622,"")</f>
        <v/>
      </c>
      <c r="Y23" s="27"/>
      <c r="Z23" s="27" t="s">
        <v>72</v>
      </c>
      <c r="AA23" s="27" t="e">
        <f>IF(AA21*((0.0023*M23)+0.9644)&lt;AA22,AA22,AA21*((0.0023*M23)+0.9644))</f>
        <v>#VALUE!</v>
      </c>
      <c r="AB23" s="27"/>
      <c r="AC23" s="27"/>
      <c r="AD23" s="27"/>
      <c r="AE23" s="27"/>
      <c r="AF23" s="27"/>
      <c r="AG23" s="27"/>
      <c r="AH23" s="27"/>
      <c r="AI23" s="27"/>
      <c r="AJ23" s="27"/>
      <c r="AK23" s="27"/>
      <c r="AL23" s="27"/>
    </row>
    <row r="24" spans="1:38">
      <c r="A24" s="27"/>
      <c r="B24" s="115"/>
      <c r="C24" s="155"/>
      <c r="D24" s="155"/>
      <c r="E24" s="156"/>
      <c r="F24" s="117" t="str">
        <f>IFERROR(VLOOKUP($E$14,$Z$31:$AA$35,2,FALSE)*E24*2.204622/10000,"")</f>
        <v/>
      </c>
      <c r="G24" s="6"/>
      <c r="H24" s="27"/>
      <c r="I24" s="157"/>
      <c r="J24" s="6"/>
      <c r="K24" s="44" t="str">
        <f t="shared" si="0"/>
        <v/>
      </c>
      <c r="L24" s="45"/>
      <c r="M24" s="46" t="e">
        <f t="shared" si="4"/>
        <v>#VALUE!</v>
      </c>
      <c r="N24" s="46">
        <f t="shared" si="1"/>
        <v>0</v>
      </c>
      <c r="O24" s="45"/>
      <c r="P24" s="34" t="s">
        <v>89</v>
      </c>
      <c r="Q24" s="47" t="str">
        <f t="shared" si="2"/>
        <v/>
      </c>
      <c r="R24" s="47" t="str">
        <f t="shared" si="3"/>
        <v/>
      </c>
      <c r="S24" s="48" t="str">
        <f t="shared" si="5"/>
        <v/>
      </c>
      <c r="T24" s="48" t="str">
        <f t="shared" si="6"/>
        <v/>
      </c>
      <c r="U24" s="27"/>
      <c r="V24" s="27"/>
      <c r="W24" s="34" t="s">
        <v>89</v>
      </c>
      <c r="X24" s="49" t="str">
        <f>IFERROR(M24*2.204622,"")</f>
        <v/>
      </c>
      <c r="Y24" s="27"/>
      <c r="Z24" s="27" t="s">
        <v>73</v>
      </c>
      <c r="AA24" s="27" t="e">
        <f>AVERAGE(AA21,AA22)</f>
        <v>#VALUE!</v>
      </c>
      <c r="AB24" s="27"/>
      <c r="AC24" s="27"/>
      <c r="AD24" s="27"/>
      <c r="AE24" s="27"/>
      <c r="AF24" s="27"/>
      <c r="AG24" s="27"/>
      <c r="AH24" s="27"/>
      <c r="AI24" s="27"/>
      <c r="AJ24" s="27"/>
      <c r="AK24" s="27"/>
      <c r="AL24" s="27"/>
    </row>
    <row r="25" spans="1:38">
      <c r="A25" s="27"/>
      <c r="B25" s="115"/>
      <c r="C25" s="155"/>
      <c r="D25" s="155"/>
      <c r="E25" s="156"/>
      <c r="F25" s="117" t="str">
        <f>IFERROR(VLOOKUP($E$14,$Z$40:$AA$47,2,FALSE)*E25*2.204622/10000,"")</f>
        <v/>
      </c>
      <c r="G25" s="6"/>
      <c r="H25" s="27"/>
      <c r="I25" s="157"/>
      <c r="J25" s="6"/>
      <c r="K25" s="44" t="str">
        <f t="shared" si="0"/>
        <v/>
      </c>
      <c r="L25" s="45"/>
      <c r="M25" s="46" t="e">
        <f t="shared" si="4"/>
        <v>#VALUE!</v>
      </c>
      <c r="N25" s="46">
        <f t="shared" si="1"/>
        <v>0</v>
      </c>
      <c r="O25" s="45"/>
      <c r="P25" s="34" t="s">
        <v>90</v>
      </c>
      <c r="Q25" s="47" t="str">
        <f t="shared" si="2"/>
        <v/>
      </c>
      <c r="R25" s="47" t="str">
        <f t="shared" si="3"/>
        <v/>
      </c>
      <c r="S25" s="48" t="str">
        <f t="shared" si="5"/>
        <v/>
      </c>
      <c r="T25" s="48" t="str">
        <f t="shared" si="6"/>
        <v/>
      </c>
      <c r="U25" s="27"/>
      <c r="V25" s="27"/>
      <c r="W25" s="34" t="s">
        <v>90</v>
      </c>
      <c r="X25" s="49" t="str">
        <f>IFERROR(M25*2.204622,"")</f>
        <v/>
      </c>
      <c r="Y25" s="27"/>
      <c r="Z25" s="27" t="s">
        <v>74</v>
      </c>
      <c r="AA25" s="27" t="e">
        <f>AVERAGE(AA23,AA22)</f>
        <v>#VALUE!</v>
      </c>
      <c r="AB25" s="27"/>
      <c r="AC25" s="27"/>
      <c r="AD25" s="27"/>
      <c r="AE25" s="27"/>
      <c r="AF25" s="27"/>
      <c r="AG25" s="27"/>
      <c r="AH25" s="27"/>
      <c r="AI25" s="27"/>
      <c r="AJ25" s="27"/>
      <c r="AK25" s="27"/>
      <c r="AL25" s="27"/>
    </row>
    <row r="26" spans="1:38">
      <c r="A26" s="27"/>
      <c r="B26" s="115"/>
      <c r="C26" s="155"/>
      <c r="D26" s="155"/>
      <c r="E26" s="156"/>
      <c r="F26" s="117" t="str">
        <f>IFERROR(VLOOKUP($E$14,$Z$50:$AA$54,2,FALSE)*E26*2.204622/10000,"")</f>
        <v/>
      </c>
      <c r="G26" s="6"/>
      <c r="H26" s="27"/>
      <c r="I26" s="157"/>
      <c r="J26" s="6"/>
      <c r="K26" s="44" t="str">
        <f t="shared" si="0"/>
        <v/>
      </c>
      <c r="L26" s="45"/>
      <c r="M26" s="46" t="e">
        <f t="shared" si="4"/>
        <v>#VALUE!</v>
      </c>
      <c r="N26" s="46">
        <f t="shared" si="1"/>
        <v>0</v>
      </c>
      <c r="O26" s="45"/>
      <c r="P26" s="34" t="s">
        <v>91</v>
      </c>
      <c r="Q26" s="47" t="str">
        <f t="shared" si="2"/>
        <v/>
      </c>
      <c r="R26" s="47" t="str">
        <f t="shared" si="3"/>
        <v/>
      </c>
      <c r="S26" s="48" t="str">
        <f t="shared" si="5"/>
        <v/>
      </c>
      <c r="T26" s="48" t="str">
        <f t="shared" si="6"/>
        <v/>
      </c>
      <c r="U26" s="27"/>
      <c r="V26" s="27"/>
      <c r="W26" s="34" t="s">
        <v>91</v>
      </c>
      <c r="X26" s="49" t="str">
        <f>IFERROR(M26*2.204622,"")</f>
        <v/>
      </c>
      <c r="Y26" s="27"/>
      <c r="Z26" s="27"/>
      <c r="AA26" s="27"/>
      <c r="AB26" s="27"/>
      <c r="AC26" s="27"/>
      <c r="AD26" s="27"/>
      <c r="AE26" s="27"/>
      <c r="AF26" s="27"/>
      <c r="AG26" s="27"/>
      <c r="AH26" s="27"/>
      <c r="AI26" s="27"/>
      <c r="AJ26" s="27"/>
      <c r="AK26" s="27"/>
      <c r="AL26" s="27"/>
    </row>
    <row r="27" spans="1:38">
      <c r="A27" s="27"/>
      <c r="B27" s="27"/>
      <c r="C27" s="155"/>
      <c r="D27" s="155"/>
      <c r="E27" s="156"/>
      <c r="F27" s="117" t="str">
        <f>IFERROR(VLOOKUP($E$14,$Z$57:$AA$61,2,FALSE)*E27*2.204622/10000,"")</f>
        <v/>
      </c>
      <c r="G27" s="6"/>
      <c r="H27" s="27"/>
      <c r="I27" s="157"/>
      <c r="J27" s="6"/>
      <c r="K27" s="44" t="str">
        <f t="shared" si="0"/>
        <v/>
      </c>
      <c r="L27" s="45"/>
      <c r="M27" s="46" t="e">
        <f t="shared" si="4"/>
        <v>#VALUE!</v>
      </c>
      <c r="N27" s="46">
        <f t="shared" si="1"/>
        <v>0</v>
      </c>
      <c r="O27" s="45"/>
      <c r="P27" s="34" t="s">
        <v>92</v>
      </c>
      <c r="Q27" s="47" t="str">
        <f t="shared" si="2"/>
        <v/>
      </c>
      <c r="R27" s="47" t="str">
        <f t="shared" si="3"/>
        <v/>
      </c>
      <c r="S27" s="48" t="str">
        <f t="shared" si="5"/>
        <v/>
      </c>
      <c r="T27" s="48" t="str">
        <f t="shared" si="6"/>
        <v/>
      </c>
      <c r="U27" s="27"/>
      <c r="V27" s="27"/>
      <c r="W27" s="34" t="s">
        <v>92</v>
      </c>
      <c r="X27" s="49" t="str">
        <f t="shared" ref="X27:X28" si="7">IFERROR(M27*2.204622,"")</f>
        <v/>
      </c>
      <c r="Y27" s="27"/>
      <c r="Z27" s="27"/>
      <c r="AA27" s="27"/>
      <c r="AB27" s="27"/>
      <c r="AC27" s="27"/>
      <c r="AD27" s="27"/>
      <c r="AE27" s="27"/>
      <c r="AF27" s="27"/>
      <c r="AG27" s="27"/>
      <c r="AH27" s="27"/>
      <c r="AI27" s="27"/>
      <c r="AJ27" s="27"/>
      <c r="AK27" s="27"/>
      <c r="AL27" s="27"/>
    </row>
    <row r="28" spans="1:38">
      <c r="A28" s="27"/>
      <c r="B28" s="27"/>
      <c r="C28" s="155"/>
      <c r="D28" s="155"/>
      <c r="E28" s="156"/>
      <c r="F28" s="117" t="str">
        <f>IFERROR(VLOOKUP($E$14,$Z$64:$AA$68,2,FALSE)*E28*2.204622/10000,"")</f>
        <v/>
      </c>
      <c r="G28" s="6"/>
      <c r="H28" s="27"/>
      <c r="I28" s="157"/>
      <c r="J28" s="6"/>
      <c r="K28" s="44" t="str">
        <f t="shared" si="0"/>
        <v/>
      </c>
      <c r="L28" s="45"/>
      <c r="M28" s="46" t="e">
        <f t="shared" si="4"/>
        <v>#VALUE!</v>
      </c>
      <c r="N28" s="46">
        <f t="shared" si="1"/>
        <v>0</v>
      </c>
      <c r="O28" s="45"/>
      <c r="P28" s="34" t="s">
        <v>93</v>
      </c>
      <c r="Q28" s="47" t="str">
        <f t="shared" si="2"/>
        <v/>
      </c>
      <c r="R28" s="47" t="str">
        <f t="shared" si="3"/>
        <v/>
      </c>
      <c r="S28" s="48" t="str">
        <f t="shared" si="5"/>
        <v/>
      </c>
      <c r="T28" s="48" t="str">
        <f t="shared" si="6"/>
        <v/>
      </c>
      <c r="U28" s="27"/>
      <c r="V28" s="27"/>
      <c r="W28" s="34" t="s">
        <v>93</v>
      </c>
      <c r="X28" s="49" t="str">
        <f t="shared" si="7"/>
        <v/>
      </c>
      <c r="Y28" s="27"/>
      <c r="Z28" s="27"/>
      <c r="AA28" s="27"/>
      <c r="AB28" s="27"/>
      <c r="AC28" s="27"/>
      <c r="AD28" s="27"/>
      <c r="AE28" s="27"/>
      <c r="AF28" s="27"/>
      <c r="AG28" s="27"/>
      <c r="AH28" s="27"/>
      <c r="AI28" s="27"/>
      <c r="AJ28" s="27"/>
      <c r="AK28" s="27"/>
      <c r="AL28" s="27"/>
    </row>
    <row r="29" spans="1:38" hidden="1">
      <c r="A29" s="27"/>
      <c r="B29" s="27"/>
      <c r="C29" s="50"/>
      <c r="D29" s="50"/>
      <c r="E29" s="51"/>
      <c r="F29" s="43"/>
      <c r="G29" s="52"/>
      <c r="H29" s="27"/>
      <c r="I29" s="53"/>
      <c r="J29" s="52"/>
      <c r="K29" s="44">
        <f t="shared" si="0"/>
        <v>0</v>
      </c>
      <c r="L29" s="45"/>
      <c r="M29" s="46"/>
      <c r="N29" s="46"/>
      <c r="O29" s="45"/>
      <c r="P29" s="27"/>
      <c r="Q29" s="47"/>
      <c r="R29" s="47"/>
      <c r="S29" s="48"/>
      <c r="T29" s="48"/>
      <c r="U29" s="27"/>
      <c r="V29" s="27"/>
      <c r="W29" s="27"/>
      <c r="X29" s="49"/>
      <c r="Y29" s="27"/>
      <c r="Z29" s="27"/>
      <c r="AA29" s="27"/>
      <c r="AB29" s="27"/>
      <c r="AC29" s="27"/>
      <c r="AD29" s="27"/>
      <c r="AE29" s="27"/>
      <c r="AF29" s="27"/>
      <c r="AG29" s="27"/>
      <c r="AH29" s="27"/>
      <c r="AI29" s="27"/>
      <c r="AJ29" s="27"/>
      <c r="AK29" s="27"/>
      <c r="AL29" s="27"/>
    </row>
    <row r="30" spans="1:38" hidden="1">
      <c r="A30" s="27"/>
      <c r="B30" s="54"/>
      <c r="C30" s="54"/>
      <c r="D30" s="54"/>
      <c r="E30" s="54"/>
      <c r="F30" s="43"/>
      <c r="G30" s="55"/>
      <c r="H30" s="27"/>
      <c r="I30" s="56"/>
      <c r="J30" s="57"/>
      <c r="K30" s="33"/>
      <c r="L30" s="45"/>
      <c r="M30" s="45"/>
      <c r="N30" s="58">
        <f>SUM(N22:N28)/2.204622</f>
        <v>0</v>
      </c>
      <c r="O30" s="58"/>
      <c r="P30" s="27"/>
      <c r="Q30" s="45"/>
      <c r="R30" s="45"/>
      <c r="S30" s="48">
        <f>SUM(S22:S28)</f>
        <v>0</v>
      </c>
      <c r="T30" s="48">
        <f>SUM(T22:T28)</f>
        <v>0</v>
      </c>
      <c r="U30" s="27"/>
      <c r="V30" s="27"/>
      <c r="W30" s="27"/>
      <c r="X30" s="49"/>
      <c r="Y30" s="27"/>
      <c r="Z30" s="27" t="s">
        <v>80</v>
      </c>
      <c r="AA30" s="27"/>
      <c r="AB30" s="27"/>
      <c r="AC30" s="27"/>
      <c r="AD30" s="27"/>
      <c r="AE30" s="27"/>
      <c r="AF30" s="27"/>
      <c r="AG30" s="27"/>
      <c r="AH30" s="27"/>
      <c r="AI30" s="27"/>
      <c r="AJ30" s="27"/>
      <c r="AK30" s="27"/>
      <c r="AL30" s="27"/>
    </row>
    <row r="31" spans="1:38" hidden="1">
      <c r="A31" s="27"/>
      <c r="B31" s="59">
        <v>1</v>
      </c>
      <c r="C31" s="60" t="s">
        <v>0</v>
      </c>
      <c r="D31" s="61" t="str">
        <f t="shared" ref="D31:D37" si="8">IFERROR(1.1298+(-0.00162*$M22*2.2046)+(0.000004267*($M22*2.2046)^2)+0.3757*(0),"")</f>
        <v/>
      </c>
      <c r="E31" s="62"/>
      <c r="F31" s="61" t="str">
        <f t="shared" ref="F31:F37" si="9">IFERROR(1.1298+(-0.00162*$M22*2.2046)+(0.000004267*($M22*2.2046)^2)+0.3757*($K22),"")</f>
        <v/>
      </c>
      <c r="G31" s="63">
        <f t="shared" ref="G31:G42" si="10">IFERROR(F31/D31,0)</f>
        <v>0</v>
      </c>
      <c r="H31" s="64"/>
      <c r="I31" s="65"/>
      <c r="J31" s="27"/>
      <c r="K31" s="27"/>
      <c r="L31" s="27"/>
      <c r="M31" s="27"/>
      <c r="N31" s="27"/>
      <c r="O31" s="27"/>
      <c r="P31" s="27"/>
      <c r="Q31" s="27"/>
      <c r="R31" s="66"/>
      <c r="S31" s="67" t="e">
        <f>S30/N30</f>
        <v>#DIV/0!</v>
      </c>
      <c r="T31" s="67" t="e">
        <f>T30/N30</f>
        <v>#DIV/0!</v>
      </c>
      <c r="U31" s="27"/>
      <c r="V31" s="27"/>
      <c r="W31" s="27"/>
      <c r="X31" s="49"/>
      <c r="Y31" s="27"/>
      <c r="Z31" s="27" t="s">
        <v>56</v>
      </c>
      <c r="AA31" s="27" t="e">
        <f>((0.000031*X24^2)-(0.0176*X24)+4.5523)</f>
        <v>#VALUE!</v>
      </c>
      <c r="AB31" s="27"/>
      <c r="AC31" s="27"/>
      <c r="AD31" s="27"/>
      <c r="AE31" s="27"/>
      <c r="AF31" s="27"/>
      <c r="AG31" s="27"/>
      <c r="AH31" s="27"/>
      <c r="AI31" s="27"/>
      <c r="AJ31" s="27"/>
      <c r="AK31" s="27"/>
      <c r="AL31" s="27"/>
    </row>
    <row r="32" spans="1:38" hidden="1">
      <c r="A32" s="27"/>
      <c r="B32" s="59">
        <v>2</v>
      </c>
      <c r="C32" s="60" t="s">
        <v>0</v>
      </c>
      <c r="D32" s="61" t="str">
        <f t="shared" si="8"/>
        <v/>
      </c>
      <c r="E32" s="62"/>
      <c r="F32" s="61" t="str">
        <f t="shared" si="9"/>
        <v/>
      </c>
      <c r="G32" s="63">
        <f t="shared" si="10"/>
        <v>0</v>
      </c>
      <c r="H32" s="64"/>
      <c r="I32" s="64"/>
      <c r="J32" s="27"/>
      <c r="K32" s="27"/>
      <c r="L32" s="27"/>
      <c r="M32" s="27"/>
      <c r="N32" s="27"/>
      <c r="O32" s="27"/>
      <c r="P32" s="27"/>
      <c r="Q32" s="27"/>
      <c r="R32" s="27"/>
      <c r="S32" s="27"/>
      <c r="T32" s="27"/>
      <c r="U32" s="27"/>
      <c r="V32" s="27"/>
      <c r="W32" s="27"/>
      <c r="X32" s="49"/>
      <c r="Y32" s="27"/>
      <c r="Z32" s="27" t="s">
        <v>55</v>
      </c>
      <c r="AA32" s="27" t="e">
        <f>((0.000043*X24^2)-(0.02154*X24)+4.9538)</f>
        <v>#VALUE!</v>
      </c>
      <c r="AB32" s="27"/>
      <c r="AC32" s="27"/>
      <c r="AD32" s="27"/>
      <c r="AE32" s="27"/>
      <c r="AF32" s="27"/>
      <c r="AG32" s="27"/>
      <c r="AH32" s="27"/>
      <c r="AI32" s="27"/>
      <c r="AJ32" s="27"/>
      <c r="AK32" s="27"/>
      <c r="AL32" s="27"/>
    </row>
    <row r="33" spans="1:38" hidden="1">
      <c r="A33" s="27"/>
      <c r="B33" s="68">
        <v>3</v>
      </c>
      <c r="C33" s="60" t="s">
        <v>0</v>
      </c>
      <c r="D33" s="61" t="str">
        <f t="shared" si="8"/>
        <v/>
      </c>
      <c r="E33" s="62"/>
      <c r="F33" s="61" t="str">
        <f t="shared" si="9"/>
        <v/>
      </c>
      <c r="G33" s="63">
        <f t="shared" si="10"/>
        <v>0</v>
      </c>
      <c r="H33" s="59"/>
      <c r="I33" s="69"/>
      <c r="J33" s="27"/>
      <c r="K33" s="27"/>
      <c r="L33" s="27"/>
      <c r="M33" s="27"/>
      <c r="N33" s="27"/>
      <c r="O33" s="27"/>
      <c r="P33" s="70"/>
      <c r="Q33" s="27"/>
      <c r="R33" s="70"/>
      <c r="S33" s="71"/>
      <c r="T33" s="27"/>
      <c r="U33" s="27"/>
      <c r="V33" s="27"/>
      <c r="W33" s="70"/>
      <c r="X33" s="49"/>
      <c r="Y33" s="27"/>
      <c r="Z33" s="27" t="s">
        <v>72</v>
      </c>
      <c r="AA33" s="27" t="e">
        <f>IF(AA31*((0.0023*M24)+0.9644)&lt;AA32,AA32,AA31*((0.0023*M24)+0.9644))</f>
        <v>#VALUE!</v>
      </c>
      <c r="AB33" s="27"/>
      <c r="AC33" s="27"/>
      <c r="AD33" s="27"/>
      <c r="AE33" s="27"/>
      <c r="AF33" s="27"/>
      <c r="AG33" s="27"/>
      <c r="AH33" s="27"/>
      <c r="AI33" s="27"/>
      <c r="AJ33" s="27"/>
      <c r="AK33" s="27"/>
      <c r="AL33" s="27"/>
    </row>
    <row r="34" spans="1:38" hidden="1">
      <c r="A34" s="27"/>
      <c r="B34" s="68">
        <v>4</v>
      </c>
      <c r="C34" s="60" t="s">
        <v>0</v>
      </c>
      <c r="D34" s="61" t="str">
        <f t="shared" si="8"/>
        <v/>
      </c>
      <c r="E34" s="62"/>
      <c r="F34" s="61" t="str">
        <f t="shared" si="9"/>
        <v/>
      </c>
      <c r="G34" s="63">
        <f t="shared" si="10"/>
        <v>0</v>
      </c>
      <c r="H34" s="59"/>
      <c r="I34" s="59"/>
      <c r="J34" s="27"/>
      <c r="K34" s="27"/>
      <c r="L34" s="27"/>
      <c r="M34" s="27"/>
      <c r="N34" s="27"/>
      <c r="O34" s="27"/>
      <c r="P34" s="70"/>
      <c r="Q34" s="27"/>
      <c r="R34" s="70"/>
      <c r="S34" s="27"/>
      <c r="T34" s="27"/>
      <c r="U34" s="27"/>
      <c r="V34" s="27"/>
      <c r="W34" s="70"/>
      <c r="X34" s="49"/>
      <c r="Y34" s="27"/>
      <c r="Z34" s="27" t="s">
        <v>73</v>
      </c>
      <c r="AA34" s="27" t="e">
        <f>AVERAGE(AA31,AA32)</f>
        <v>#VALUE!</v>
      </c>
      <c r="AB34" s="27"/>
      <c r="AC34" s="27"/>
      <c r="AD34" s="27"/>
      <c r="AE34" s="27"/>
      <c r="AF34" s="27"/>
      <c r="AG34" s="27"/>
      <c r="AH34" s="27"/>
      <c r="AI34" s="27"/>
      <c r="AJ34" s="27"/>
      <c r="AK34" s="27"/>
      <c r="AL34" s="27"/>
    </row>
    <row r="35" spans="1:38" hidden="1">
      <c r="A35" s="27"/>
      <c r="B35" s="68">
        <v>5</v>
      </c>
      <c r="C35" s="60" t="s">
        <v>0</v>
      </c>
      <c r="D35" s="61" t="str">
        <f t="shared" si="8"/>
        <v/>
      </c>
      <c r="E35" s="62"/>
      <c r="F35" s="61" t="str">
        <f t="shared" si="9"/>
        <v/>
      </c>
      <c r="G35" s="63">
        <f t="shared" si="10"/>
        <v>0</v>
      </c>
      <c r="H35" s="59"/>
      <c r="I35" s="72"/>
      <c r="J35" s="27"/>
      <c r="K35" s="27"/>
      <c r="L35" s="27"/>
      <c r="M35" s="27"/>
      <c r="N35" s="27"/>
      <c r="O35" s="27"/>
      <c r="P35" s="70"/>
      <c r="Q35" s="27"/>
      <c r="R35" s="70"/>
      <c r="S35" s="27"/>
      <c r="T35" s="27"/>
      <c r="U35" s="27"/>
      <c r="V35" s="27"/>
      <c r="W35" s="70"/>
      <c r="X35" s="49"/>
      <c r="Y35" s="27"/>
      <c r="Z35" s="27" t="s">
        <v>74</v>
      </c>
      <c r="AA35" s="27" t="e">
        <f>AVERAGE(AA33,AA32)</f>
        <v>#VALUE!</v>
      </c>
      <c r="AB35" s="27"/>
      <c r="AC35" s="27"/>
      <c r="AD35" s="27"/>
      <c r="AE35" s="27"/>
      <c r="AF35" s="27"/>
      <c r="AG35" s="27"/>
      <c r="AH35" s="27"/>
      <c r="AI35" s="27"/>
      <c r="AJ35" s="27"/>
      <c r="AK35" s="27"/>
      <c r="AL35" s="27"/>
    </row>
    <row r="36" spans="1:38" hidden="1">
      <c r="A36" s="27"/>
      <c r="B36" s="59">
        <v>6</v>
      </c>
      <c r="C36" s="60" t="s">
        <v>0</v>
      </c>
      <c r="D36" s="61" t="str">
        <f t="shared" si="8"/>
        <v/>
      </c>
      <c r="E36" s="62"/>
      <c r="F36" s="61" t="str">
        <f t="shared" si="9"/>
        <v/>
      </c>
      <c r="G36" s="63">
        <f>IFERROR(F36/D36,0)</f>
        <v>0</v>
      </c>
      <c r="H36" s="59"/>
      <c r="I36" s="72"/>
      <c r="J36" s="27"/>
      <c r="K36" s="27"/>
      <c r="L36" s="27"/>
      <c r="M36" s="27"/>
      <c r="N36" s="27"/>
      <c r="O36" s="27"/>
      <c r="P36" s="70"/>
      <c r="Q36" s="27"/>
      <c r="R36" s="70"/>
      <c r="S36" s="27"/>
      <c r="T36" s="27"/>
      <c r="U36" s="27"/>
      <c r="V36" s="27"/>
      <c r="W36" s="70"/>
      <c r="X36" s="49"/>
      <c r="Y36" s="27"/>
      <c r="Z36" s="27"/>
      <c r="AA36" s="27"/>
      <c r="AB36" s="27"/>
      <c r="AC36" s="27"/>
      <c r="AD36" s="27"/>
      <c r="AE36" s="27"/>
      <c r="AF36" s="27"/>
      <c r="AG36" s="27"/>
      <c r="AH36" s="27"/>
      <c r="AI36" s="27"/>
      <c r="AJ36" s="27"/>
      <c r="AK36" s="27"/>
      <c r="AL36" s="27"/>
    </row>
    <row r="37" spans="1:38" hidden="1">
      <c r="A37" s="27"/>
      <c r="B37" s="59">
        <v>7</v>
      </c>
      <c r="C37" s="60" t="s">
        <v>0</v>
      </c>
      <c r="D37" s="61" t="str">
        <f t="shared" si="8"/>
        <v/>
      </c>
      <c r="E37" s="62"/>
      <c r="F37" s="61" t="str">
        <f t="shared" si="9"/>
        <v/>
      </c>
      <c r="G37" s="63">
        <f>IFERROR(F37/D37,0)</f>
        <v>0</v>
      </c>
      <c r="H37" s="59"/>
      <c r="I37" s="72"/>
      <c r="J37" s="27"/>
      <c r="K37" s="27"/>
      <c r="L37" s="27"/>
      <c r="M37" s="27"/>
      <c r="N37" s="27"/>
      <c r="O37" s="27"/>
      <c r="P37" s="70"/>
      <c r="Q37" s="27"/>
      <c r="R37" s="70"/>
      <c r="S37" s="27"/>
      <c r="T37" s="27"/>
      <c r="U37" s="27"/>
      <c r="V37" s="27"/>
      <c r="W37" s="70"/>
      <c r="X37" s="49"/>
      <c r="Y37" s="27"/>
      <c r="Z37" s="27"/>
      <c r="AA37" s="27"/>
      <c r="AB37" s="27"/>
      <c r="AC37" s="27"/>
      <c r="AD37" s="27"/>
      <c r="AE37" s="27"/>
      <c r="AF37" s="27"/>
      <c r="AG37" s="27"/>
      <c r="AH37" s="27"/>
      <c r="AI37" s="27"/>
      <c r="AJ37" s="27"/>
      <c r="AK37" s="27"/>
      <c r="AL37" s="27"/>
    </row>
    <row r="38" spans="1:38" hidden="1">
      <c r="A38" s="27"/>
      <c r="B38" s="59">
        <v>1</v>
      </c>
      <c r="C38" s="60" t="s">
        <v>1</v>
      </c>
      <c r="D38" s="73" t="str">
        <f t="shared" ref="D38:D44" si="11">IFERROR(1.0532+(-0.00083*$M22*2.2046)+(0.000002369*($M22*2.2046)^2)+0.3235*(0),"")</f>
        <v/>
      </c>
      <c r="E38" s="62"/>
      <c r="F38" s="73" t="str">
        <f t="shared" ref="F38:F44" si="12">IFERROR(1.0532+(-0.00083*$M22*2.2046)+(0.000002369*($M22*2.2046)^2)+0.3235*(K22),"")</f>
        <v/>
      </c>
      <c r="G38" s="63">
        <f t="shared" si="10"/>
        <v>0</v>
      </c>
      <c r="H38" s="59"/>
      <c r="I38" s="59"/>
      <c r="J38" s="27"/>
      <c r="K38" s="27"/>
      <c r="L38" s="27"/>
      <c r="M38" s="27"/>
      <c r="N38" s="27"/>
      <c r="O38" s="27"/>
      <c r="P38" s="70"/>
      <c r="Q38" s="27"/>
      <c r="R38" s="70"/>
      <c r="S38" s="27"/>
      <c r="T38" s="27"/>
      <c r="U38" s="27"/>
      <c r="V38" s="27"/>
      <c r="W38" s="70"/>
      <c r="X38" s="49"/>
      <c r="Y38" s="27"/>
      <c r="Z38" s="27"/>
      <c r="AA38" s="27"/>
      <c r="AB38" s="27"/>
      <c r="AC38" s="27"/>
      <c r="AD38" s="27"/>
      <c r="AE38" s="27"/>
      <c r="AF38" s="27"/>
      <c r="AG38" s="27"/>
      <c r="AH38" s="27"/>
      <c r="AI38" s="27"/>
      <c r="AJ38" s="27"/>
      <c r="AK38" s="27"/>
      <c r="AL38" s="27"/>
    </row>
    <row r="39" spans="1:38" hidden="1">
      <c r="A39" s="27"/>
      <c r="B39" s="59">
        <v>2</v>
      </c>
      <c r="C39" s="60" t="s">
        <v>1</v>
      </c>
      <c r="D39" s="73" t="str">
        <f t="shared" si="11"/>
        <v/>
      </c>
      <c r="E39" s="62"/>
      <c r="F39" s="73" t="str">
        <f t="shared" si="12"/>
        <v/>
      </c>
      <c r="G39" s="63">
        <f t="shared" si="10"/>
        <v>0</v>
      </c>
      <c r="H39" s="59"/>
      <c r="I39" s="69"/>
      <c r="J39" s="27"/>
      <c r="K39" s="27"/>
      <c r="L39" s="27"/>
      <c r="M39" s="27"/>
      <c r="N39" s="27"/>
      <c r="O39" s="27"/>
      <c r="P39" s="70"/>
      <c r="Q39" s="27"/>
      <c r="R39" s="70"/>
      <c r="S39" s="27"/>
      <c r="T39" s="27"/>
      <c r="U39" s="27"/>
      <c r="V39" s="27"/>
      <c r="W39" s="70"/>
      <c r="X39" s="49"/>
      <c r="Y39" s="27"/>
      <c r="Z39" s="27" t="s">
        <v>81</v>
      </c>
      <c r="AA39" s="27"/>
      <c r="AB39" s="27"/>
      <c r="AC39" s="27"/>
      <c r="AD39" s="27"/>
      <c r="AE39" s="27"/>
      <c r="AF39" s="27"/>
      <c r="AG39" s="27"/>
      <c r="AH39" s="27"/>
      <c r="AI39" s="27"/>
      <c r="AJ39" s="27"/>
      <c r="AK39" s="27"/>
      <c r="AL39" s="27"/>
    </row>
    <row r="40" spans="1:38" hidden="1">
      <c r="A40" s="27"/>
      <c r="B40" s="68">
        <v>3</v>
      </c>
      <c r="C40" s="60" t="s">
        <v>1</v>
      </c>
      <c r="D40" s="73" t="str">
        <f t="shared" si="11"/>
        <v/>
      </c>
      <c r="E40" s="62"/>
      <c r="F40" s="73" t="str">
        <f t="shared" si="12"/>
        <v/>
      </c>
      <c r="G40" s="63">
        <f t="shared" si="10"/>
        <v>0</v>
      </c>
      <c r="H40" s="59"/>
      <c r="I40" s="59"/>
      <c r="J40" s="27"/>
      <c r="K40" s="27"/>
      <c r="L40" s="27"/>
      <c r="M40" s="27"/>
      <c r="N40" s="27"/>
      <c r="O40" s="27"/>
      <c r="P40" s="70"/>
      <c r="Q40" s="27"/>
      <c r="R40" s="70"/>
      <c r="S40" s="27"/>
      <c r="T40" s="27"/>
      <c r="U40" s="27"/>
      <c r="V40" s="27"/>
      <c r="W40" s="70"/>
      <c r="X40" s="49"/>
      <c r="Y40" s="27"/>
      <c r="Z40" s="27" t="s">
        <v>56</v>
      </c>
      <c r="AA40" s="27" t="e">
        <f>((0.000031*X25^2)-(0.0176*X25)+4.5523)</f>
        <v>#VALUE!</v>
      </c>
      <c r="AB40" s="27"/>
      <c r="AC40" s="27"/>
      <c r="AD40" s="27"/>
      <c r="AE40" s="27"/>
      <c r="AF40" s="27"/>
      <c r="AG40" s="27"/>
      <c r="AH40" s="27"/>
      <c r="AI40" s="27"/>
      <c r="AJ40" s="27"/>
      <c r="AK40" s="27"/>
      <c r="AL40" s="27"/>
    </row>
    <row r="41" spans="1:38" hidden="1">
      <c r="A41" s="27"/>
      <c r="B41" s="68">
        <v>4</v>
      </c>
      <c r="C41" s="60" t="s">
        <v>1</v>
      </c>
      <c r="D41" s="73" t="str">
        <f t="shared" si="11"/>
        <v/>
      </c>
      <c r="E41" s="62"/>
      <c r="F41" s="73" t="str">
        <f t="shared" si="12"/>
        <v/>
      </c>
      <c r="G41" s="63">
        <f t="shared" si="10"/>
        <v>0</v>
      </c>
      <c r="H41" s="59"/>
      <c r="I41" s="69"/>
      <c r="J41" s="27"/>
      <c r="K41" s="27"/>
      <c r="L41" s="27"/>
      <c r="M41" s="27"/>
      <c r="N41" s="27"/>
      <c r="O41" s="27"/>
      <c r="P41" s="70"/>
      <c r="Q41" s="27"/>
      <c r="R41" s="70"/>
      <c r="S41" s="27"/>
      <c r="T41" s="27"/>
      <c r="U41" s="27"/>
      <c r="V41" s="27"/>
      <c r="W41" s="70"/>
      <c r="X41" s="49"/>
      <c r="Y41" s="27"/>
      <c r="Z41" s="27" t="s">
        <v>55</v>
      </c>
      <c r="AA41" s="27" t="e">
        <f>((0.000043*X25^2)-(0.02154*X25)+4.9538)</f>
        <v>#VALUE!</v>
      </c>
      <c r="AB41" s="27"/>
      <c r="AC41" s="27"/>
      <c r="AD41" s="27"/>
      <c r="AE41" s="27"/>
      <c r="AF41" s="27"/>
      <c r="AG41" s="27"/>
      <c r="AH41" s="27"/>
      <c r="AI41" s="27"/>
      <c r="AJ41" s="27"/>
      <c r="AK41" s="27"/>
      <c r="AL41" s="27"/>
    </row>
    <row r="42" spans="1:38" hidden="1">
      <c r="A42" s="27"/>
      <c r="B42" s="68">
        <v>5</v>
      </c>
      <c r="C42" s="60" t="s">
        <v>1</v>
      </c>
      <c r="D42" s="73" t="str">
        <f t="shared" si="11"/>
        <v/>
      </c>
      <c r="E42" s="62"/>
      <c r="F42" s="73" t="str">
        <f t="shared" si="12"/>
        <v/>
      </c>
      <c r="G42" s="63">
        <f t="shared" si="10"/>
        <v>0</v>
      </c>
      <c r="H42" s="59"/>
      <c r="I42" s="59"/>
      <c r="J42" s="27"/>
      <c r="K42" s="27"/>
      <c r="L42" s="27"/>
      <c r="M42" s="27"/>
      <c r="N42" s="27"/>
      <c r="O42" s="27"/>
      <c r="P42" s="70"/>
      <c r="Q42" s="27"/>
      <c r="R42" s="70"/>
      <c r="S42" s="27"/>
      <c r="T42" s="27"/>
      <c r="U42" s="27"/>
      <c r="V42" s="27"/>
      <c r="W42" s="70"/>
      <c r="X42" s="49"/>
      <c r="Y42" s="27"/>
      <c r="Z42" s="27" t="s">
        <v>72</v>
      </c>
      <c r="AA42" s="27" t="e">
        <f>IF(AA40*((0.0023*M25)+0.9644)&lt;AA41,AA41,AA40*((0.0023*M25)+0.9644))</f>
        <v>#VALUE!</v>
      </c>
      <c r="AB42" s="27"/>
      <c r="AC42" s="27"/>
      <c r="AD42" s="27"/>
      <c r="AE42" s="27"/>
      <c r="AF42" s="27"/>
      <c r="AG42" s="27"/>
      <c r="AH42" s="27"/>
      <c r="AI42" s="27"/>
      <c r="AJ42" s="27"/>
      <c r="AK42" s="27"/>
      <c r="AL42" s="27"/>
    </row>
    <row r="43" spans="1:38" hidden="1">
      <c r="A43" s="27"/>
      <c r="B43" s="59">
        <v>6</v>
      </c>
      <c r="C43" s="60" t="s">
        <v>1</v>
      </c>
      <c r="D43" s="73" t="str">
        <f t="shared" si="11"/>
        <v/>
      </c>
      <c r="E43" s="62"/>
      <c r="F43" s="73" t="str">
        <f t="shared" si="12"/>
        <v/>
      </c>
      <c r="G43" s="63">
        <f>IFERROR(F43/D43,0)</f>
        <v>0</v>
      </c>
      <c r="H43" s="59"/>
      <c r="I43" s="59"/>
      <c r="J43" s="27"/>
      <c r="K43" s="27"/>
      <c r="L43" s="27"/>
      <c r="M43" s="27"/>
      <c r="N43" s="27"/>
      <c r="O43" s="27"/>
      <c r="P43" s="70"/>
      <c r="Q43" s="27"/>
      <c r="R43" s="70"/>
      <c r="S43" s="27"/>
      <c r="T43" s="27"/>
      <c r="U43" s="27"/>
      <c r="V43" s="27"/>
      <c r="W43" s="70"/>
      <c r="X43" s="49"/>
      <c r="Y43" s="27"/>
      <c r="Z43" s="27"/>
      <c r="AA43" s="27"/>
      <c r="AB43" s="27"/>
      <c r="AC43" s="27"/>
      <c r="AD43" s="27"/>
      <c r="AE43" s="27"/>
      <c r="AF43" s="27"/>
      <c r="AG43" s="27"/>
      <c r="AH43" s="27"/>
      <c r="AI43" s="27"/>
      <c r="AJ43" s="27"/>
      <c r="AK43" s="27"/>
      <c r="AL43" s="27"/>
    </row>
    <row r="44" spans="1:38" hidden="1">
      <c r="A44" s="27"/>
      <c r="B44" s="59">
        <v>7</v>
      </c>
      <c r="C44" s="60" t="s">
        <v>1</v>
      </c>
      <c r="D44" s="73" t="str">
        <f t="shared" si="11"/>
        <v/>
      </c>
      <c r="E44" s="62"/>
      <c r="F44" s="73" t="str">
        <f t="shared" si="12"/>
        <v/>
      </c>
      <c r="G44" s="63">
        <f>IFERROR(F44/D44,0)</f>
        <v>0</v>
      </c>
      <c r="H44" s="59"/>
      <c r="I44" s="59"/>
      <c r="J44" s="27"/>
      <c r="K44" s="27"/>
      <c r="L44" s="27"/>
      <c r="M44" s="27"/>
      <c r="N44" s="27"/>
      <c r="O44" s="27"/>
      <c r="P44" s="70"/>
      <c r="Q44" s="27"/>
      <c r="R44" s="70"/>
      <c r="S44" s="27"/>
      <c r="T44" s="27"/>
      <c r="U44" s="27"/>
      <c r="V44" s="27"/>
      <c r="W44" s="70"/>
      <c r="X44" s="49"/>
      <c r="Y44" s="27"/>
      <c r="Z44" s="27"/>
      <c r="AA44" s="27"/>
      <c r="AB44" s="27"/>
      <c r="AC44" s="27"/>
      <c r="AD44" s="27"/>
      <c r="AE44" s="27"/>
      <c r="AF44" s="27"/>
      <c r="AG44" s="27"/>
      <c r="AH44" s="27"/>
      <c r="AI44" s="27"/>
      <c r="AJ44" s="27"/>
      <c r="AK44" s="27"/>
      <c r="AL44" s="27"/>
    </row>
    <row r="45" spans="1:38" hidden="1">
      <c r="A45" s="27"/>
      <c r="B45" s="68"/>
      <c r="C45" s="60"/>
      <c r="D45" s="73"/>
      <c r="E45" s="62"/>
      <c r="F45" s="73"/>
      <c r="G45" s="63"/>
      <c r="H45" s="59"/>
      <c r="I45" s="59"/>
      <c r="J45" s="27"/>
      <c r="K45" s="27"/>
      <c r="L45" s="27"/>
      <c r="M45" s="27"/>
      <c r="N45" s="27"/>
      <c r="O45" s="27"/>
      <c r="P45" s="70"/>
      <c r="Q45" s="27"/>
      <c r="R45" s="70"/>
      <c r="S45" s="27"/>
      <c r="T45" s="27"/>
      <c r="U45" s="27"/>
      <c r="V45" s="27"/>
      <c r="W45" s="70"/>
      <c r="X45" s="49"/>
      <c r="Y45" s="27"/>
      <c r="Z45" s="27"/>
      <c r="AA45" s="27"/>
      <c r="AB45" s="27"/>
      <c r="AC45" s="27"/>
      <c r="AD45" s="27"/>
      <c r="AE45" s="27"/>
      <c r="AF45" s="27"/>
      <c r="AG45" s="27"/>
      <c r="AH45" s="27"/>
      <c r="AI45" s="27"/>
      <c r="AJ45" s="27"/>
      <c r="AK45" s="27"/>
      <c r="AL45" s="27"/>
    </row>
    <row r="46" spans="1:38" hidden="1">
      <c r="A46" s="27"/>
      <c r="B46" s="74"/>
      <c r="C46" s="74"/>
      <c r="D46" s="74"/>
      <c r="E46" s="74"/>
      <c r="F46" s="75"/>
      <c r="G46" s="76"/>
      <c r="H46" s="77"/>
      <c r="I46" s="78"/>
      <c r="J46" s="79"/>
      <c r="K46" s="80"/>
      <c r="L46" s="81"/>
      <c r="M46" s="82"/>
      <c r="N46" s="27"/>
      <c r="O46" s="81"/>
      <c r="P46" s="70"/>
      <c r="Q46" s="83"/>
      <c r="R46" s="70"/>
      <c r="S46" s="27"/>
      <c r="T46" s="27"/>
      <c r="U46" s="27"/>
      <c r="V46" s="27"/>
      <c r="W46" s="70"/>
      <c r="X46" s="49"/>
      <c r="Y46" s="27"/>
      <c r="Z46" s="27" t="s">
        <v>73</v>
      </c>
      <c r="AA46" s="27" t="e">
        <f>AVERAGE(AA40,AA41)</f>
        <v>#VALUE!</v>
      </c>
      <c r="AB46" s="27"/>
      <c r="AC46" s="27"/>
      <c r="AD46" s="27"/>
      <c r="AE46" s="27"/>
      <c r="AF46" s="27"/>
      <c r="AG46" s="27"/>
      <c r="AH46" s="27"/>
      <c r="AI46" s="27"/>
      <c r="AJ46" s="27"/>
      <c r="AK46" s="27"/>
      <c r="AL46" s="27"/>
    </row>
    <row r="47" spans="1:38" hidden="1">
      <c r="A47" s="27"/>
      <c r="B47" s="74"/>
      <c r="C47" s="74"/>
      <c r="D47" s="74"/>
      <c r="E47" s="74"/>
      <c r="F47" s="84"/>
      <c r="G47" s="76"/>
      <c r="H47" s="77"/>
      <c r="I47" s="78"/>
      <c r="J47" s="79"/>
      <c r="K47" s="80"/>
      <c r="L47" s="81"/>
      <c r="M47" s="82"/>
      <c r="N47" s="27"/>
      <c r="O47" s="81"/>
      <c r="P47" s="70"/>
      <c r="Q47" s="83"/>
      <c r="R47" s="70"/>
      <c r="S47" s="27"/>
      <c r="T47" s="27"/>
      <c r="U47" s="27"/>
      <c r="V47" s="27"/>
      <c r="W47" s="70"/>
      <c r="X47" s="49"/>
      <c r="Y47" s="27"/>
      <c r="Z47" s="27" t="s">
        <v>74</v>
      </c>
      <c r="AA47" s="27" t="e">
        <f>AVERAGE(AA42,AA41)</f>
        <v>#VALUE!</v>
      </c>
      <c r="AB47" s="27"/>
      <c r="AC47" s="27"/>
      <c r="AD47" s="27"/>
      <c r="AE47" s="27"/>
      <c r="AF47" s="27"/>
      <c r="AG47" s="27"/>
      <c r="AH47" s="27"/>
      <c r="AI47" s="27"/>
      <c r="AJ47" s="27"/>
      <c r="AK47" s="27"/>
      <c r="AL47" s="27"/>
    </row>
    <row r="48" spans="1:38" hidden="1">
      <c r="A48" s="27"/>
      <c r="B48" s="85" t="s">
        <v>77</v>
      </c>
      <c r="C48" s="85"/>
      <c r="D48" s="85"/>
      <c r="E48" s="85"/>
      <c r="F48" s="120">
        <f>E12</f>
        <v>0.89812210831896933</v>
      </c>
      <c r="G48" s="121"/>
      <c r="H48" s="27"/>
      <c r="I48" s="122" t="e">
        <f>((((G31*N22)+(G32*N23)+(G33*N24)+(G34*N25)+(G35*N26)+(G36*N27)+(G37*N28))/N30)*$E$12)/2.204622</f>
        <v>#DIV/0!</v>
      </c>
      <c r="J48" s="123"/>
      <c r="K48" s="86"/>
      <c r="L48" s="81"/>
      <c r="M48" s="27"/>
      <c r="N48" s="27"/>
      <c r="O48" s="81"/>
      <c r="P48" s="27"/>
      <c r="Q48" s="27"/>
      <c r="R48" s="27"/>
      <c r="S48" s="27"/>
      <c r="T48" s="27"/>
      <c r="U48" s="27"/>
      <c r="V48" s="27"/>
      <c r="W48" s="27"/>
      <c r="X48" s="49"/>
      <c r="Y48" s="27"/>
      <c r="Z48" s="27"/>
      <c r="AA48" s="27"/>
      <c r="AB48" s="27"/>
      <c r="AC48" s="27"/>
      <c r="AD48" s="27"/>
      <c r="AE48" s="27"/>
      <c r="AF48" s="27"/>
      <c r="AG48" s="27"/>
      <c r="AH48" s="27"/>
      <c r="AI48" s="27"/>
      <c r="AJ48" s="27"/>
      <c r="AK48" s="27"/>
      <c r="AL48" s="27"/>
    </row>
    <row r="49" spans="1:38">
      <c r="A49" s="27"/>
      <c r="B49" s="85"/>
      <c r="C49" s="85"/>
      <c r="D49" s="85"/>
      <c r="E49" s="85"/>
      <c r="F49" s="87"/>
      <c r="G49" s="88"/>
      <c r="H49" s="27"/>
      <c r="I49" s="87"/>
      <c r="J49" s="88"/>
      <c r="K49" s="80"/>
      <c r="L49" s="81"/>
      <c r="M49" s="27"/>
      <c r="N49" s="27"/>
      <c r="O49" s="81"/>
      <c r="P49" s="27"/>
      <c r="Q49" s="27"/>
      <c r="R49" s="27"/>
      <c r="S49" s="27"/>
      <c r="T49" s="27"/>
      <c r="U49" s="27"/>
      <c r="V49" s="27"/>
      <c r="W49" s="27"/>
      <c r="X49" s="49"/>
      <c r="Y49" s="27"/>
      <c r="Z49" s="27" t="s">
        <v>82</v>
      </c>
      <c r="AA49" s="27"/>
      <c r="AB49" s="27"/>
      <c r="AC49" s="27"/>
      <c r="AD49" s="27"/>
      <c r="AE49" s="27"/>
      <c r="AF49" s="27"/>
      <c r="AG49" s="27"/>
      <c r="AH49" s="27"/>
      <c r="AI49" s="27"/>
      <c r="AJ49" s="27"/>
      <c r="AK49" s="27"/>
      <c r="AL49" s="27"/>
    </row>
    <row r="50" spans="1:38" ht="15" thickBot="1">
      <c r="A50" s="27"/>
      <c r="B50" s="28" t="s">
        <v>19</v>
      </c>
      <c r="C50" s="28"/>
      <c r="D50" s="28"/>
      <c r="E50" s="28"/>
      <c r="F50" s="124"/>
      <c r="G50" s="125"/>
      <c r="H50" s="29"/>
      <c r="I50" s="126"/>
      <c r="J50" s="127"/>
      <c r="K50" s="89"/>
      <c r="L50" s="81"/>
      <c r="M50" s="27"/>
      <c r="N50" s="27"/>
      <c r="O50" s="81"/>
      <c r="P50" s="27"/>
      <c r="Q50" s="27"/>
      <c r="R50" s="27"/>
      <c r="S50" s="27"/>
      <c r="T50" s="27"/>
      <c r="U50" s="27"/>
      <c r="V50" s="27"/>
      <c r="W50" s="27"/>
      <c r="X50" s="27"/>
      <c r="Y50" s="27"/>
      <c r="Z50" s="27" t="s">
        <v>56</v>
      </c>
      <c r="AA50" s="27" t="e">
        <f>((0.000031*X26^2)-(0.0176*X26)+4.5523)</f>
        <v>#VALUE!</v>
      </c>
      <c r="AB50" s="27"/>
      <c r="AC50" s="27"/>
      <c r="AD50" s="27"/>
      <c r="AE50" s="27"/>
      <c r="AF50" s="27"/>
      <c r="AG50" s="27"/>
      <c r="AH50" s="27"/>
      <c r="AI50" s="27"/>
      <c r="AJ50" s="27"/>
      <c r="AK50" s="27"/>
      <c r="AL50" s="27"/>
    </row>
    <row r="51" spans="1:38">
      <c r="A51" s="27"/>
      <c r="B51" s="90" t="s">
        <v>3</v>
      </c>
      <c r="C51" s="90"/>
      <c r="D51" s="90"/>
      <c r="E51" s="90"/>
      <c r="F51" s="128" t="str">
        <f>IF(G22&gt;0,100%," ")</f>
        <v xml:space="preserve"> </v>
      </c>
      <c r="G51" s="129"/>
      <c r="H51" s="91"/>
      <c r="I51" s="128" t="str">
        <f>IF(G22&gt;0,(I48/MAX($F$48:$J$48))," ")</f>
        <v xml:space="preserve"> </v>
      </c>
      <c r="J51" s="129"/>
      <c r="K51" s="92"/>
      <c r="L51" s="93"/>
      <c r="M51" s="54"/>
      <c r="N51" s="54"/>
      <c r="O51" s="93"/>
      <c r="P51" s="54"/>
      <c r="Q51" s="54"/>
      <c r="R51" s="54"/>
      <c r="S51" s="54"/>
      <c r="T51" s="54"/>
      <c r="U51" s="54"/>
      <c r="V51" s="54"/>
      <c r="W51" s="27"/>
      <c r="X51" s="27"/>
      <c r="Y51" s="27"/>
      <c r="Z51" s="27" t="s">
        <v>55</v>
      </c>
      <c r="AA51" s="27" t="e">
        <f>((0.000043*X26^2)-(0.02154*X26)+4.9538)</f>
        <v>#VALUE!</v>
      </c>
      <c r="AB51" s="27"/>
      <c r="AC51" s="27"/>
      <c r="AD51" s="27"/>
      <c r="AE51" s="27"/>
      <c r="AF51" s="27"/>
      <c r="AG51" s="27"/>
      <c r="AH51" s="27"/>
      <c r="AI51" s="27"/>
      <c r="AJ51" s="27"/>
      <c r="AK51" s="27"/>
      <c r="AL51" s="27"/>
    </row>
    <row r="52" spans="1:38" hidden="1">
      <c r="A52" s="27"/>
      <c r="B52" s="90" t="s">
        <v>12</v>
      </c>
      <c r="C52" s="90"/>
      <c r="D52" s="90"/>
      <c r="E52" s="90"/>
      <c r="F52" s="130" t="e">
        <f>E13*F54</f>
        <v>#VALUE!</v>
      </c>
      <c r="G52" s="131"/>
      <c r="H52" s="91"/>
      <c r="I52" s="132" t="s">
        <v>14</v>
      </c>
      <c r="J52" s="133"/>
      <c r="K52" s="92"/>
      <c r="L52" s="93"/>
      <c r="M52" s="54"/>
      <c r="N52" s="54"/>
      <c r="O52" s="93"/>
      <c r="P52" s="54"/>
      <c r="Q52" s="54"/>
      <c r="R52" s="54"/>
      <c r="S52" s="54"/>
      <c r="T52" s="54"/>
      <c r="U52" s="54"/>
      <c r="V52" s="54"/>
      <c r="W52" s="27"/>
      <c r="X52" s="27"/>
      <c r="Y52" s="27"/>
      <c r="Z52" s="27" t="s">
        <v>72</v>
      </c>
      <c r="AA52" s="27" t="e">
        <f>IF(AA50*((0.0023*M26)+0.9644)&lt;AA51,AA51,AA50*((0.0023*M26)+0.9644))</f>
        <v>#VALUE!</v>
      </c>
      <c r="AB52" s="27"/>
      <c r="AC52" s="27"/>
      <c r="AD52" s="27"/>
      <c r="AE52" s="27"/>
      <c r="AF52" s="27"/>
      <c r="AG52" s="27"/>
      <c r="AH52" s="27"/>
      <c r="AI52" s="27"/>
      <c r="AJ52" s="27"/>
      <c r="AK52" s="27"/>
      <c r="AL52" s="27"/>
    </row>
    <row r="53" spans="1:38" hidden="1">
      <c r="A53" s="27"/>
      <c r="B53" s="90" t="s">
        <v>13</v>
      </c>
      <c r="C53" s="90"/>
      <c r="D53" s="90"/>
      <c r="E53" s="90"/>
      <c r="F53" s="130">
        <f>E13</f>
        <v>2.6</v>
      </c>
      <c r="G53" s="131"/>
      <c r="H53" s="91"/>
      <c r="I53" s="134" t="e">
        <f>$E$13/(((G38*N22)+(G39*N23)+(G40*N24)+(G41*N25)+(G42*N26)+(G43*N27)+(G44*N28))/N30)*2.204622</f>
        <v>#DIV/0!</v>
      </c>
      <c r="J53" s="135"/>
      <c r="K53" s="92"/>
      <c r="L53" s="93"/>
      <c r="M53" s="54"/>
      <c r="N53" s="54"/>
      <c r="O53" s="93"/>
      <c r="P53" s="54"/>
      <c r="Q53" s="54"/>
      <c r="R53" s="54"/>
      <c r="S53" s="54"/>
      <c r="T53" s="54"/>
      <c r="U53" s="54"/>
      <c r="V53" s="54"/>
      <c r="W53" s="27"/>
      <c r="X53" s="27"/>
      <c r="Y53" s="27"/>
      <c r="Z53" s="27" t="s">
        <v>73</v>
      </c>
      <c r="AA53" s="27" t="e">
        <f>AVERAGE(AA50,AA51)</f>
        <v>#VALUE!</v>
      </c>
      <c r="AB53" s="27"/>
      <c r="AC53" s="27"/>
      <c r="AD53" s="27"/>
      <c r="AE53" s="27"/>
      <c r="AF53" s="27"/>
      <c r="AG53" s="27"/>
      <c r="AH53" s="27"/>
      <c r="AI53" s="27"/>
      <c r="AJ53" s="27"/>
      <c r="AK53" s="27"/>
      <c r="AL53" s="27"/>
    </row>
    <row r="54" spans="1:38">
      <c r="A54" s="27"/>
      <c r="B54" s="90" t="s">
        <v>15</v>
      </c>
      <c r="C54" s="90"/>
      <c r="D54" s="90"/>
      <c r="E54" s="90"/>
      <c r="F54" s="128" t="str">
        <f>IF(G22&gt;0,98.7%," ")</f>
        <v xml:space="preserve"> </v>
      </c>
      <c r="G54" s="129"/>
      <c r="H54" s="91"/>
      <c r="I54" s="128" t="str">
        <f>IF(G22&gt;0,(MIN($F$52:$J$52)/I53)," ")</f>
        <v xml:space="preserve"> </v>
      </c>
      <c r="J54" s="129"/>
      <c r="K54" s="92"/>
      <c r="L54" s="93"/>
      <c r="M54" s="54"/>
      <c r="N54" s="54"/>
      <c r="O54" s="93"/>
      <c r="P54" s="54"/>
      <c r="Q54" s="54"/>
      <c r="R54" s="54"/>
      <c r="S54" s="54"/>
      <c r="T54" s="54"/>
      <c r="U54" s="54"/>
      <c r="V54" s="54"/>
      <c r="W54" s="27"/>
      <c r="X54" s="27"/>
      <c r="Y54" s="27"/>
      <c r="Z54" s="27" t="s">
        <v>74</v>
      </c>
      <c r="AA54" s="27" t="e">
        <f>AVERAGE(AA52,AA51)</f>
        <v>#VALUE!</v>
      </c>
      <c r="AB54" s="27"/>
      <c r="AC54" s="27"/>
      <c r="AD54" s="27"/>
      <c r="AE54" s="27"/>
      <c r="AF54" s="27"/>
      <c r="AG54" s="27"/>
      <c r="AH54" s="27"/>
      <c r="AI54" s="27"/>
      <c r="AJ54" s="27"/>
      <c r="AK54" s="27"/>
      <c r="AL54" s="27"/>
    </row>
    <row r="55" spans="1:38" hidden="1">
      <c r="A55" s="27"/>
      <c r="B55" s="94" t="s">
        <v>76</v>
      </c>
      <c r="C55" s="94"/>
      <c r="D55" s="94"/>
      <c r="E55" s="94"/>
      <c r="F55" s="136" t="e">
        <f>S31</f>
        <v>#DIV/0!</v>
      </c>
      <c r="G55" s="137"/>
      <c r="H55" s="91"/>
      <c r="I55" s="136" t="e">
        <f>T31</f>
        <v>#DIV/0!</v>
      </c>
      <c r="J55" s="137"/>
      <c r="K55" s="54"/>
      <c r="L55" s="93"/>
      <c r="M55" s="54"/>
      <c r="N55" s="54"/>
      <c r="O55" s="93"/>
      <c r="P55" s="54"/>
      <c r="Q55" s="54"/>
      <c r="R55" s="54"/>
      <c r="S55" s="54"/>
      <c r="T55" s="54"/>
      <c r="U55" s="54"/>
      <c r="V55" s="54"/>
      <c r="W55" s="27"/>
      <c r="X55" s="27"/>
      <c r="Y55" s="27"/>
      <c r="Z55" s="27"/>
      <c r="AA55" s="27"/>
      <c r="AB55" s="27"/>
      <c r="AC55" s="27"/>
      <c r="AD55" s="27"/>
      <c r="AE55" s="27"/>
      <c r="AF55" s="27"/>
      <c r="AG55" s="27"/>
      <c r="AH55" s="27"/>
      <c r="AI55" s="27"/>
      <c r="AJ55" s="27"/>
      <c r="AK55" s="27"/>
      <c r="AL55" s="27"/>
    </row>
    <row r="56" spans="1:38" hidden="1">
      <c r="A56" s="27"/>
      <c r="B56" s="95" t="s">
        <v>2</v>
      </c>
      <c r="C56" s="95"/>
      <c r="D56" s="95"/>
      <c r="E56" s="95"/>
      <c r="F56" s="138" t="e">
        <f>(F48*115*$M$14)-(F55*F48*115)</f>
        <v>#DIV/0!</v>
      </c>
      <c r="G56" s="139"/>
      <c r="H56" s="91"/>
      <c r="I56" s="138" t="e">
        <f>(I48*115*$M$14)-(I55*I48*115)</f>
        <v>#DIV/0!</v>
      </c>
      <c r="J56" s="139"/>
      <c r="K56" s="96" t="e">
        <f>F56-I56</f>
        <v>#DIV/0!</v>
      </c>
      <c r="L56" s="93"/>
      <c r="M56" s="54"/>
      <c r="N56" s="54"/>
      <c r="O56" s="93"/>
      <c r="P56" s="54"/>
      <c r="Q56" s="54"/>
      <c r="R56" s="54"/>
      <c r="S56" s="54"/>
      <c r="T56" s="54"/>
      <c r="U56" s="54"/>
      <c r="V56" s="54"/>
      <c r="W56" s="27"/>
      <c r="X56" s="27"/>
      <c r="Y56" s="27"/>
      <c r="Z56" s="27" t="s">
        <v>85</v>
      </c>
      <c r="AA56" s="27"/>
      <c r="AB56" s="27"/>
      <c r="AC56" s="27"/>
      <c r="AD56" s="27"/>
      <c r="AE56" s="27"/>
      <c r="AF56" s="27"/>
      <c r="AG56" s="27"/>
      <c r="AH56" s="27"/>
      <c r="AI56" s="27"/>
      <c r="AJ56" s="27"/>
      <c r="AK56" s="27"/>
      <c r="AL56" s="27"/>
    </row>
    <row r="57" spans="1:38" hidden="1">
      <c r="A57" s="27"/>
      <c r="B57" s="90" t="s">
        <v>5</v>
      </c>
      <c r="C57" s="90"/>
      <c r="D57" s="90"/>
      <c r="E57" s="90"/>
      <c r="F57" s="138" t="e">
        <f>(104*$M$14)-($F$55*104)-(104/$F$48*$E$17)</f>
        <v>#DIV/0!</v>
      </c>
      <c r="G57" s="139"/>
      <c r="H57" s="91"/>
      <c r="I57" s="138" t="e">
        <f>(104*$M$14)-(I55*104)-(104/I48*$E$17)</f>
        <v>#DIV/0!</v>
      </c>
      <c r="J57" s="139"/>
      <c r="K57" s="96" t="e">
        <f>F57-I57</f>
        <v>#DIV/0!</v>
      </c>
      <c r="L57" s="93"/>
      <c r="M57" s="54"/>
      <c r="N57" s="54"/>
      <c r="O57" s="93"/>
      <c r="P57" s="54"/>
      <c r="Q57" s="54"/>
      <c r="R57" s="54"/>
      <c r="S57" s="54"/>
      <c r="T57" s="54"/>
      <c r="U57" s="54"/>
      <c r="V57" s="54"/>
      <c r="W57" s="27"/>
      <c r="X57" s="27"/>
      <c r="Y57" s="27"/>
      <c r="Z57" s="27" t="s">
        <v>56</v>
      </c>
      <c r="AA57" s="27" t="e">
        <f>((0.000031*X27^2)-(0.0176*X27)+4.5523)</f>
        <v>#VALUE!</v>
      </c>
      <c r="AB57" s="27"/>
      <c r="AC57" s="27"/>
      <c r="AD57" s="27"/>
      <c r="AE57" s="27"/>
      <c r="AF57" s="27"/>
      <c r="AG57" s="27"/>
      <c r="AH57" s="27"/>
      <c r="AI57" s="27"/>
      <c r="AJ57" s="27"/>
      <c r="AK57" s="27"/>
      <c r="AL57" s="27"/>
    </row>
    <row r="58" spans="1:38" hidden="1">
      <c r="A58" s="27"/>
      <c r="B58" s="97" t="s">
        <v>10</v>
      </c>
      <c r="C58" s="97"/>
      <c r="D58" s="97"/>
      <c r="E58" s="97"/>
      <c r="F58" s="141" t="e">
        <f>(((($M$14)-((1/((F48*115)+23))*((F55*115*F48)+$E$18+$E$16)))))*1000/(1000/(F48*115))</f>
        <v>#DIV/0!</v>
      </c>
      <c r="G58" s="142"/>
      <c r="H58" s="91"/>
      <c r="I58" s="141" t="e">
        <f>(((($M$14)-((1/((I48*115)+23))*((I55*115*I48)+$E$18+$E$16)))))*1000/(1000/(I48*115))</f>
        <v>#DIV/0!</v>
      </c>
      <c r="J58" s="142"/>
      <c r="K58" s="96" t="e">
        <f>F58-I58</f>
        <v>#DIV/0!</v>
      </c>
      <c r="L58" s="98"/>
      <c r="M58" s="98"/>
      <c r="N58" s="98"/>
      <c r="O58" s="98"/>
      <c r="P58" s="98"/>
      <c r="Q58" s="54"/>
      <c r="R58" s="54"/>
      <c r="S58" s="54"/>
      <c r="T58" s="54"/>
      <c r="U58" s="54"/>
      <c r="V58" s="54"/>
      <c r="W58" s="27"/>
      <c r="X58" s="27"/>
      <c r="Y58" s="27"/>
      <c r="Z58" s="27" t="s">
        <v>55</v>
      </c>
      <c r="AA58" s="27" t="e">
        <f>((0.000043*X27^2)-(0.02154*X27)+4.9538)</f>
        <v>#VALUE!</v>
      </c>
      <c r="AB58" s="27"/>
      <c r="AC58" s="27"/>
      <c r="AD58" s="27"/>
      <c r="AE58" s="27"/>
      <c r="AF58" s="27"/>
      <c r="AG58" s="27"/>
      <c r="AH58" s="27"/>
      <c r="AI58" s="27"/>
      <c r="AJ58" s="27"/>
      <c r="AK58" s="27"/>
      <c r="AL58" s="27"/>
    </row>
    <row r="59" spans="1:38" hidden="1">
      <c r="A59" s="27"/>
      <c r="B59" s="97" t="s">
        <v>11</v>
      </c>
      <c r="C59" s="97"/>
      <c r="D59" s="97"/>
      <c r="E59" s="97"/>
      <c r="F59" s="141" t="e">
        <f>(((($M$14)-((1/(F48*(104/F48)))*((F55*(104/F48)*F48)+$E$18+$E$16+(104/F48*$E$17))))*1000/(1000/104)))</f>
        <v>#DIV/0!</v>
      </c>
      <c r="G59" s="142"/>
      <c r="H59" s="91"/>
      <c r="I59" s="141" t="e">
        <f>(((($M$14)-((1/(I48*(104/I48)))*((I55*(104/I48)*I48)+$E$18+$E$16+(104/I48*$E$17))))*1000/(1000/104)))</f>
        <v>#DIV/0!</v>
      </c>
      <c r="J59" s="142"/>
      <c r="K59" s="96" t="e">
        <f>F59-I59</f>
        <v>#DIV/0!</v>
      </c>
      <c r="L59" s="98"/>
      <c r="M59" s="98"/>
      <c r="N59" s="98"/>
      <c r="O59" s="98"/>
      <c r="P59" s="98"/>
      <c r="Q59" s="54"/>
      <c r="R59" s="54"/>
      <c r="S59" s="54"/>
      <c r="T59" s="54"/>
      <c r="U59" s="54"/>
      <c r="V59" s="54"/>
      <c r="W59" s="27"/>
      <c r="X59" s="27"/>
      <c r="Y59" s="27"/>
      <c r="Z59" s="27" t="s">
        <v>72</v>
      </c>
      <c r="AA59" s="27" t="e">
        <f>IF(AA57*((0.0023*M27)+0.9644)&lt;AA58,AA58,AA57*((0.0023*M27)+0.9644))</f>
        <v>#VALUE!</v>
      </c>
      <c r="AB59" s="27"/>
      <c r="AC59" s="27"/>
      <c r="AD59" s="27"/>
      <c r="AE59" s="27"/>
      <c r="AF59" s="27"/>
      <c r="AG59" s="27"/>
      <c r="AH59" s="27"/>
      <c r="AI59" s="27"/>
      <c r="AJ59" s="27"/>
      <c r="AK59" s="27"/>
      <c r="AL59" s="27"/>
    </row>
    <row r="60" spans="1:38">
      <c r="A60" s="27"/>
      <c r="B60" s="90"/>
      <c r="C60" s="90"/>
      <c r="D60" s="90"/>
      <c r="E60" s="90"/>
      <c r="F60" s="99"/>
      <c r="G60" s="100"/>
      <c r="H60" s="91"/>
      <c r="I60" s="143"/>
      <c r="J60" s="144"/>
      <c r="K60" s="54"/>
      <c r="L60" s="93"/>
      <c r="M60" s="54"/>
      <c r="N60" s="54"/>
      <c r="O60" s="93"/>
      <c r="P60" s="54"/>
      <c r="Q60" s="54"/>
      <c r="R60" s="54"/>
      <c r="S60" s="54"/>
      <c r="T60" s="54"/>
      <c r="U60" s="54"/>
      <c r="V60" s="54"/>
      <c r="W60" s="27"/>
      <c r="X60" s="27"/>
      <c r="Y60" s="27"/>
      <c r="Z60" s="27" t="s">
        <v>73</v>
      </c>
      <c r="AA60" s="27" t="e">
        <f>AVERAGE(AA57,AA58)</f>
        <v>#VALUE!</v>
      </c>
      <c r="AB60" s="27"/>
      <c r="AC60" s="27"/>
      <c r="AD60" s="27"/>
      <c r="AE60" s="27"/>
      <c r="AF60" s="27"/>
      <c r="AG60" s="27"/>
      <c r="AH60" s="27"/>
      <c r="AI60" s="27"/>
      <c r="AJ60" s="27"/>
      <c r="AK60" s="27"/>
      <c r="AL60" s="27"/>
    </row>
    <row r="61" spans="1:38">
      <c r="A61" s="27"/>
      <c r="B61" s="91" t="s">
        <v>70</v>
      </c>
      <c r="C61" s="91"/>
      <c r="D61" s="91"/>
      <c r="E61" s="91"/>
      <c r="F61" s="101"/>
      <c r="G61" s="102"/>
      <c r="H61" s="103"/>
      <c r="I61" s="104"/>
      <c r="J61" s="102"/>
      <c r="K61" s="54"/>
      <c r="L61" s="54"/>
      <c r="M61" s="54"/>
      <c r="N61" s="54"/>
      <c r="O61" s="54"/>
      <c r="P61" s="54"/>
      <c r="Q61" s="54"/>
      <c r="R61" s="54"/>
      <c r="S61" s="54"/>
      <c r="T61" s="54"/>
      <c r="U61" s="54"/>
      <c r="V61" s="54"/>
      <c r="W61" s="54"/>
      <c r="X61" s="54"/>
      <c r="Y61" s="54"/>
      <c r="Z61" s="27" t="s">
        <v>74</v>
      </c>
      <c r="AA61" s="27" t="e">
        <f>AVERAGE(AA59,AA58)</f>
        <v>#VALUE!</v>
      </c>
      <c r="AB61" s="54"/>
      <c r="AC61" s="54"/>
      <c r="AD61" s="27"/>
      <c r="AE61" s="27"/>
      <c r="AF61" s="27"/>
      <c r="AG61" s="27"/>
      <c r="AH61" s="27"/>
      <c r="AI61" s="27"/>
      <c r="AJ61" s="27"/>
      <c r="AK61" s="27"/>
      <c r="AL61" s="27"/>
    </row>
    <row r="62" spans="1:38">
      <c r="A62" s="27"/>
      <c r="B62" s="91" t="s">
        <v>20</v>
      </c>
      <c r="C62" s="91"/>
      <c r="D62" s="91"/>
      <c r="E62" s="91"/>
      <c r="F62" s="145" t="str">
        <f>IF(G22&gt;0,(F58-I58)," ")</f>
        <v xml:space="preserve"> </v>
      </c>
      <c r="G62" s="146"/>
      <c r="H62" s="105"/>
      <c r="I62" s="145" t="str">
        <f>IF(G22&gt;0,(I58-F58)," ")</f>
        <v xml:space="preserve"> </v>
      </c>
      <c r="J62" s="146"/>
      <c r="K62" s="54"/>
      <c r="L62" s="106"/>
      <c r="M62" s="54"/>
      <c r="N62" s="54"/>
      <c r="O62" s="54"/>
      <c r="P62" s="54"/>
      <c r="Q62" s="54"/>
      <c r="R62" s="54"/>
      <c r="S62" s="54"/>
      <c r="T62" s="54"/>
      <c r="U62" s="54"/>
      <c r="V62" s="54"/>
      <c r="W62" s="54"/>
      <c r="X62" s="54"/>
      <c r="Y62" s="54"/>
      <c r="Z62" s="54"/>
      <c r="AA62" s="54"/>
      <c r="AB62" s="54"/>
      <c r="AC62" s="54"/>
      <c r="AD62" s="27"/>
      <c r="AE62" s="27"/>
      <c r="AF62" s="27"/>
      <c r="AG62" s="27"/>
      <c r="AH62" s="27"/>
      <c r="AI62" s="27"/>
      <c r="AJ62" s="27"/>
      <c r="AK62" s="27"/>
      <c r="AL62" s="27"/>
    </row>
    <row r="63" spans="1:38" ht="15" thickBot="1">
      <c r="A63" s="27"/>
      <c r="B63" s="107" t="s">
        <v>21</v>
      </c>
      <c r="C63" s="108"/>
      <c r="D63" s="108"/>
      <c r="E63" s="108"/>
      <c r="F63" s="147" t="str">
        <f>IF(G22&gt;0,(F59-I59)," ")</f>
        <v xml:space="preserve"> </v>
      </c>
      <c r="G63" s="148"/>
      <c r="H63" s="109"/>
      <c r="I63" s="147" t="str">
        <f>IF(G22&gt;0,(I59-F59)," ")</f>
        <v xml:space="preserve"> </v>
      </c>
      <c r="J63" s="148"/>
      <c r="K63" s="110"/>
      <c r="L63" s="54"/>
      <c r="M63" s="54"/>
      <c r="N63" s="54"/>
      <c r="O63" s="54"/>
      <c r="P63" s="54"/>
      <c r="Q63" s="54"/>
      <c r="R63" s="54"/>
      <c r="S63" s="54"/>
      <c r="T63" s="54"/>
      <c r="U63" s="54"/>
      <c r="V63" s="54"/>
      <c r="W63" s="54"/>
      <c r="X63" s="54"/>
      <c r="Y63" s="54"/>
      <c r="Z63" s="27" t="s">
        <v>86</v>
      </c>
      <c r="AA63" s="27"/>
      <c r="AB63" s="54"/>
      <c r="AC63" s="54"/>
      <c r="AD63" s="27"/>
      <c r="AE63" s="27"/>
      <c r="AF63" s="27"/>
      <c r="AG63" s="27"/>
      <c r="AH63" s="27"/>
      <c r="AI63" s="54"/>
      <c r="AJ63" s="27"/>
      <c r="AK63" s="27"/>
      <c r="AL63" s="27"/>
    </row>
    <row r="64" spans="1:38">
      <c r="A64" s="27"/>
      <c r="B64" s="111"/>
      <c r="C64" s="111"/>
      <c r="D64" s="111"/>
      <c r="E64" s="111"/>
      <c r="F64" s="112"/>
      <c r="G64" s="113"/>
      <c r="H64" s="114"/>
      <c r="I64" s="113"/>
      <c r="J64" s="113"/>
      <c r="K64" s="54"/>
      <c r="L64" s="54"/>
      <c r="M64" s="54"/>
      <c r="N64" s="54"/>
      <c r="O64" s="54"/>
      <c r="P64" s="54"/>
      <c r="Q64" s="54"/>
      <c r="R64" s="54"/>
      <c r="S64" s="54"/>
      <c r="T64" s="54"/>
      <c r="U64" s="54"/>
      <c r="V64" s="54"/>
      <c r="W64" s="54"/>
      <c r="X64" s="54"/>
      <c r="Y64" s="54"/>
      <c r="Z64" s="27" t="s">
        <v>56</v>
      </c>
      <c r="AA64" s="27" t="e">
        <f>((0.000031*X28^2)-(0.0176*X28)+4.5523)</f>
        <v>#VALUE!</v>
      </c>
      <c r="AB64" s="54"/>
      <c r="AC64" s="54"/>
      <c r="AD64" s="27"/>
      <c r="AE64" s="27"/>
      <c r="AF64" s="27"/>
      <c r="AG64" s="27"/>
      <c r="AH64" s="27"/>
      <c r="AI64" s="27"/>
      <c r="AJ64" s="27"/>
      <c r="AK64" s="27"/>
      <c r="AL64" s="27"/>
    </row>
    <row r="65" spans="1:38">
      <c r="A65" s="27"/>
      <c r="B65" s="140" t="s">
        <v>94</v>
      </c>
      <c r="C65" s="140"/>
      <c r="D65" s="140"/>
      <c r="E65" s="140"/>
      <c r="F65" s="140"/>
      <c r="G65" s="140"/>
      <c r="H65" s="140"/>
      <c r="I65" s="140"/>
      <c r="J65" s="140"/>
      <c r="K65" s="27"/>
      <c r="L65" s="27"/>
      <c r="M65" s="27"/>
      <c r="N65" s="27"/>
      <c r="O65" s="27"/>
      <c r="P65" s="27"/>
      <c r="Q65" s="27"/>
      <c r="R65" s="27"/>
      <c r="S65" s="27"/>
      <c r="T65" s="54"/>
      <c r="U65" s="54"/>
      <c r="V65" s="54"/>
      <c r="W65" s="54"/>
      <c r="X65" s="54"/>
      <c r="Y65" s="54"/>
      <c r="Z65" s="27" t="s">
        <v>55</v>
      </c>
      <c r="AA65" s="27" t="e">
        <f>((0.000043*X28^2)-(0.02154*X28)+4.9538)</f>
        <v>#VALUE!</v>
      </c>
      <c r="AB65" s="54"/>
      <c r="AC65" s="54"/>
      <c r="AD65" s="27"/>
      <c r="AE65" s="27"/>
      <c r="AF65" s="27"/>
      <c r="AG65" s="27"/>
      <c r="AH65" s="27"/>
      <c r="AI65" s="27"/>
      <c r="AJ65" s="27"/>
      <c r="AK65" s="27"/>
      <c r="AL65" s="27"/>
    </row>
    <row r="66" spans="1:38">
      <c r="A66" s="27"/>
      <c r="B66" s="140"/>
      <c r="C66" s="140"/>
      <c r="D66" s="140"/>
      <c r="E66" s="140"/>
      <c r="F66" s="140"/>
      <c r="G66" s="140"/>
      <c r="H66" s="140"/>
      <c r="I66" s="140"/>
      <c r="J66" s="140"/>
      <c r="K66" s="27"/>
      <c r="L66" s="27"/>
      <c r="M66" s="27"/>
      <c r="N66" s="27"/>
      <c r="O66" s="27"/>
      <c r="P66" s="27"/>
      <c r="Q66" s="27"/>
      <c r="R66" s="27"/>
      <c r="S66" s="27"/>
      <c r="T66" s="27"/>
      <c r="U66" s="27"/>
      <c r="V66" s="27"/>
      <c r="W66" s="27"/>
      <c r="X66" s="27"/>
      <c r="Y66" s="27"/>
      <c r="Z66" s="27" t="s">
        <v>72</v>
      </c>
      <c r="AA66" s="27" t="e">
        <f>IF(AA64*((0.0023*M28)+0.9644)&lt;AA65,AA65,AA64*((0.0023*M28)+0.9644))</f>
        <v>#VALUE!</v>
      </c>
      <c r="AB66" s="27"/>
      <c r="AC66" s="27"/>
      <c r="AD66" s="27"/>
      <c r="AE66" s="27"/>
      <c r="AF66" s="27"/>
      <c r="AG66" s="27"/>
      <c r="AH66" s="27"/>
      <c r="AI66" s="27"/>
      <c r="AJ66" s="27"/>
      <c r="AK66" s="27"/>
      <c r="AL66" s="27"/>
    </row>
    <row r="67" spans="1:38">
      <c r="A67" s="27"/>
      <c r="B67" s="140"/>
      <c r="C67" s="140"/>
      <c r="D67" s="140"/>
      <c r="E67" s="140"/>
      <c r="F67" s="140"/>
      <c r="G67" s="140"/>
      <c r="H67" s="140"/>
      <c r="I67" s="140"/>
      <c r="J67" s="140"/>
      <c r="K67" s="27"/>
      <c r="L67" s="27"/>
      <c r="M67" s="27"/>
      <c r="N67" s="27"/>
      <c r="O67" s="27"/>
      <c r="P67" s="27"/>
      <c r="Q67" s="27"/>
      <c r="R67" s="27"/>
      <c r="S67" s="27"/>
      <c r="T67" s="27"/>
      <c r="U67" s="27"/>
      <c r="V67" s="27"/>
      <c r="W67" s="27"/>
      <c r="X67" s="27"/>
      <c r="Y67" s="27"/>
      <c r="Z67" s="27" t="s">
        <v>73</v>
      </c>
      <c r="AA67" s="27" t="e">
        <f>AVERAGE(AA64,AA65)</f>
        <v>#VALUE!</v>
      </c>
      <c r="AB67" s="27"/>
      <c r="AC67" s="27"/>
      <c r="AD67" s="27"/>
      <c r="AE67" s="27"/>
      <c r="AF67" s="27"/>
      <c r="AG67" s="27"/>
      <c r="AH67" s="27"/>
      <c r="AI67" s="27"/>
      <c r="AJ67" s="27"/>
      <c r="AK67" s="27"/>
      <c r="AL67" s="27"/>
    </row>
    <row r="68" spans="1:38" ht="30.6" customHeight="1">
      <c r="A68" s="27"/>
      <c r="B68" s="140"/>
      <c r="C68" s="140"/>
      <c r="D68" s="140"/>
      <c r="E68" s="140"/>
      <c r="F68" s="140"/>
      <c r="G68" s="140"/>
      <c r="H68" s="140"/>
      <c r="I68" s="140"/>
      <c r="J68" s="140"/>
      <c r="K68" s="27"/>
      <c r="L68" s="27"/>
      <c r="M68" s="27"/>
      <c r="N68" s="27"/>
      <c r="O68" s="27"/>
      <c r="P68" s="27"/>
      <c r="Q68" s="27"/>
      <c r="R68" s="27"/>
      <c r="S68" s="27"/>
      <c r="T68" s="27"/>
      <c r="U68" s="27"/>
      <c r="V68" s="27"/>
      <c r="W68" s="27"/>
      <c r="X68" s="27"/>
      <c r="Y68" s="27"/>
      <c r="Z68" s="27" t="s">
        <v>74</v>
      </c>
      <c r="AA68" s="27" t="e">
        <f>AVERAGE(AA66,AA65)</f>
        <v>#VALUE!</v>
      </c>
      <c r="AB68" s="27"/>
      <c r="AC68" s="27"/>
      <c r="AD68" s="27"/>
      <c r="AE68" s="27"/>
      <c r="AF68" s="27"/>
      <c r="AG68" s="27"/>
      <c r="AH68" s="27"/>
      <c r="AI68" s="27"/>
      <c r="AJ68" s="27"/>
      <c r="AK68" s="27"/>
      <c r="AL68" s="27"/>
    </row>
    <row r="69" spans="1:38">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1:38">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1:38">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5" spans="1:38">
      <c r="F75" s="1" t="s">
        <v>4</v>
      </c>
    </row>
  </sheetData>
  <sheetProtection algorithmName="SHA-512" hashValue="YNv4x86CFCLOPiJk6PF+G/fxGqCKl3/FvozoS4KWn/s9r1yzWRO5morLLZKqdVhqAHtBXsOD5vyYRqP+vIL7qw==" saltValue="8zDRiDH+JN9L7o1bMHemrA==" spinCount="100000" sheet="1" objects="1" scenarios="1"/>
  <mergeCells count="30">
    <mergeCell ref="B65:J68"/>
    <mergeCell ref="F57:G57"/>
    <mergeCell ref="I57:J57"/>
    <mergeCell ref="F58:G58"/>
    <mergeCell ref="I58:J58"/>
    <mergeCell ref="F59:G59"/>
    <mergeCell ref="I59:J59"/>
    <mergeCell ref="I60:J60"/>
    <mergeCell ref="F62:G62"/>
    <mergeCell ref="I62:J62"/>
    <mergeCell ref="F63:G63"/>
    <mergeCell ref="I63:J63"/>
    <mergeCell ref="F54:G54"/>
    <mergeCell ref="I54:J54"/>
    <mergeCell ref="F55:G55"/>
    <mergeCell ref="I55:J55"/>
    <mergeCell ref="F56:G56"/>
    <mergeCell ref="I56:J56"/>
    <mergeCell ref="F51:G51"/>
    <mergeCell ref="I51:J51"/>
    <mergeCell ref="F52:G52"/>
    <mergeCell ref="I52:J52"/>
    <mergeCell ref="F53:G53"/>
    <mergeCell ref="I53:J53"/>
    <mergeCell ref="F20:G20"/>
    <mergeCell ref="I20:J20"/>
    <mergeCell ref="F48:G48"/>
    <mergeCell ref="I48:J48"/>
    <mergeCell ref="F50:G50"/>
    <mergeCell ref="I50:J50"/>
  </mergeCells>
  <dataValidations count="10">
    <dataValidation type="decimal" errorStyle="warning" allowBlank="1" showInputMessage="1" showErrorMessage="1" error="Please double check your entry" sqref="E15" xr:uid="{0AA44AEA-3635-4079-8423-C6B9395BBFB9}">
      <formula1>0.1</formula1>
      <formula2>1000000</formula2>
    </dataValidation>
    <dataValidation type="decimal" errorStyle="warning" allowBlank="1" showInputMessage="1" showErrorMessage="1" error="Please double check your entry" sqref="E17" xr:uid="{14275B75-36AF-4883-A002-DB271C5D2C28}">
      <formula1>0</formula1>
      <formula2>1000000</formula2>
    </dataValidation>
    <dataValidation type="decimal" errorStyle="warning" allowBlank="1" showInputMessage="1" showErrorMessage="1" error="Please double check your entry" sqref="E18" xr:uid="{F5417A10-A37A-4415-9876-9D58C5070717}">
      <formula1>0</formula1>
      <formula2>1000000</formula2>
    </dataValidation>
    <dataValidation type="decimal" errorStyle="warning" allowBlank="1" showInputMessage="1" showErrorMessage="1" error="Please double check your entry" sqref="J29 G29" xr:uid="{728B11F8-0D47-4A41-867D-3498925BE2B6}">
      <formula1>30</formula1>
      <formula2>500</formula2>
    </dataValidation>
    <dataValidation type="decimal" errorStyle="warning" allowBlank="1" showInputMessage="1" showErrorMessage="1" error="Please double check your entry" sqref="I22:I29" xr:uid="{A438E64F-1198-4944-A626-4E4D8EDE0AB1}">
      <formula1>0.4</formula1>
      <formula2>1.6</formula2>
    </dataValidation>
    <dataValidation type="list" errorStyle="warning" allowBlank="1" showInputMessage="1" showErrorMessage="1" error="Please double check your entry" sqref="E14" xr:uid="{A51A30F9-857A-4F96-99DF-893198F4B1D3}">
      <formula1>$Z$14:$Z$18</formula1>
    </dataValidation>
    <dataValidation type="whole" operator="lessThanOrEqual" allowBlank="1" showInputMessage="1" showErrorMessage="1" errorTitle="Outside range" error="Please enter a weight until 130 kg" sqref="D29" xr:uid="{AB3431C1-EAC3-4693-9822-87B30DBEB105}">
      <formula1>130</formula1>
    </dataValidation>
    <dataValidation type="decimal" errorStyle="warning" allowBlank="1" showInputMessage="1" showErrorMessage="1" error="Please double check your entry" sqref="M14" xr:uid="{8EC94C91-8352-4638-B124-98159A76C30B}">
      <formula1>30</formula1>
      <formula2>150</formula2>
    </dataValidation>
    <dataValidation type="decimal" allowBlank="1" showInputMessage="1" showErrorMessage="1" errorTitle="Outside range" error="Please enter a weight between 50 to 330 lb" sqref="C22:D28" xr:uid="{2C7822B9-4433-45D0-A43E-40FE942E616E}">
      <formula1>50</formula1>
      <formula2>330</formula2>
    </dataValidation>
    <dataValidation type="decimal" errorStyle="warning" allowBlank="1" showInputMessage="1" showErrorMessage="1" error="Please double check your entry" sqref="G22:G28 J22:J28" xr:uid="{BD5D45C4-1A1C-404C-970B-28E7A4437D4E}">
      <formula1>1</formula1>
      <formula2>1000000</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9686-A0D9-457A-8C6D-542A12ED9375}">
  <dimension ref="A1:AL75"/>
  <sheetViews>
    <sheetView showGridLines="0" showRowColHeaders="0" tabSelected="1" zoomScale="80" zoomScaleNormal="80" workbookViewId="0">
      <selection activeCell="B65" sqref="B65:J68"/>
    </sheetView>
  </sheetViews>
  <sheetFormatPr defaultColWidth="8.88671875" defaultRowHeight="14.4"/>
  <cols>
    <col min="1" max="1" width="8.88671875" style="1"/>
    <col min="2" max="2" width="9.33203125" style="1" customWidth="1"/>
    <col min="3" max="3" width="8.88671875" style="1" customWidth="1"/>
    <col min="4" max="4" width="8.6640625" style="1" customWidth="1"/>
    <col min="5" max="5" width="19.109375" style="1" customWidth="1"/>
    <col min="6" max="6" width="14.109375" style="1" customWidth="1"/>
    <col min="7" max="7" width="16.5546875" style="1" customWidth="1"/>
    <col min="8" max="9" width="11.33203125" style="1" customWidth="1"/>
    <col min="10" max="10" width="8.77734375" style="1" bestFit="1" customWidth="1"/>
    <col min="11" max="11" width="9.88671875" style="1" hidden="1" customWidth="1"/>
    <col min="12" max="12" width="8.88671875" style="1" hidden="1" customWidth="1"/>
    <col min="13" max="13" width="10.33203125" style="1" hidden="1" customWidth="1"/>
    <col min="14" max="14" width="8" style="1" hidden="1" customWidth="1"/>
    <col min="15" max="15" width="8.88671875" style="1" hidden="1" customWidth="1"/>
    <col min="16" max="16" width="12.6640625" style="1" hidden="1" customWidth="1"/>
    <col min="17" max="18" width="5.6640625" style="1" hidden="1" customWidth="1"/>
    <col min="19" max="19" width="10.6640625" style="1" hidden="1" customWidth="1"/>
    <col min="20" max="20" width="12" style="1" hidden="1" customWidth="1"/>
    <col min="21" max="23" width="8.88671875" style="1" hidden="1" customWidth="1"/>
    <col min="24" max="24" width="9.6640625" style="1" hidden="1" customWidth="1"/>
    <col min="25" max="25" width="8.88671875" style="1" hidden="1" customWidth="1"/>
    <col min="26" max="26" width="15.5546875" style="1" hidden="1" customWidth="1"/>
    <col min="27" max="27" width="12" style="1" hidden="1" customWidth="1"/>
    <col min="28" max="35" width="8.88671875" style="1" customWidth="1"/>
    <col min="36" max="16384" width="8.88671875" style="1"/>
  </cols>
  <sheetData>
    <row r="1" spans="1:38">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38">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8">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8">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8">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8">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8" spans="1:38">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ht="15" thickBot="1">
      <c r="A10" s="27"/>
      <c r="B10" s="28" t="s">
        <v>18</v>
      </c>
      <c r="C10" s="28"/>
      <c r="D10" s="28"/>
      <c r="E10" s="28"/>
      <c r="F10" s="29"/>
      <c r="G10" s="29"/>
      <c r="H10" s="29"/>
      <c r="I10" s="29"/>
      <c r="J10" s="29"/>
      <c r="K10" s="27"/>
      <c r="L10" s="27"/>
      <c r="M10" s="27"/>
      <c r="N10" s="27"/>
      <c r="O10" s="27"/>
      <c r="P10" s="27"/>
      <c r="Q10" s="27"/>
      <c r="R10" s="27"/>
      <c r="S10" s="27"/>
      <c r="T10" s="27"/>
      <c r="U10" s="27"/>
      <c r="V10" s="27"/>
      <c r="W10" s="27"/>
      <c r="X10" s="27"/>
      <c r="Y10" s="27"/>
      <c r="Z10" s="27" t="s">
        <v>78</v>
      </c>
      <c r="AA10" s="27"/>
      <c r="AB10" s="27"/>
      <c r="AC10" s="27"/>
      <c r="AD10" s="27"/>
      <c r="AE10" s="27"/>
      <c r="AF10" s="27"/>
      <c r="AG10" s="27"/>
      <c r="AH10" s="27"/>
      <c r="AI10" s="27"/>
      <c r="AJ10" s="27"/>
      <c r="AK10" s="27"/>
      <c r="AL10" s="27"/>
    </row>
    <row r="11" spans="1:38">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hidden="1">
      <c r="A12" s="27"/>
      <c r="B12" s="27" t="s">
        <v>77</v>
      </c>
      <c r="C12" s="27"/>
      <c r="D12" s="27"/>
      <c r="E12" s="30">
        <f>1.98/2.2046</f>
        <v>0.89812210831896933</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hidden="1">
      <c r="A13" s="27"/>
      <c r="B13" s="27" t="s">
        <v>1</v>
      </c>
      <c r="C13" s="27"/>
      <c r="D13" s="27"/>
      <c r="E13" s="30">
        <v>2.6</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c r="A14" s="27"/>
      <c r="B14" s="27" t="s">
        <v>71</v>
      </c>
      <c r="C14" s="27"/>
      <c r="D14" s="27"/>
      <c r="E14" s="31" t="s">
        <v>73</v>
      </c>
      <c r="F14" s="27"/>
      <c r="G14" s="27"/>
      <c r="H14" s="27"/>
      <c r="I14" s="27"/>
      <c r="J14" s="27"/>
      <c r="K14" s="27"/>
      <c r="L14" s="27"/>
      <c r="M14" s="5">
        <f>E15/100*2.204622</f>
        <v>0</v>
      </c>
      <c r="N14" s="27"/>
      <c r="O14" s="27"/>
      <c r="P14" s="27"/>
      <c r="Q14" s="27"/>
      <c r="R14" s="27"/>
      <c r="S14" s="27"/>
      <c r="T14" s="27"/>
      <c r="U14" s="27"/>
      <c r="V14" s="27"/>
      <c r="W14" s="27"/>
      <c r="X14" s="27"/>
      <c r="Y14" s="27"/>
      <c r="Z14" s="27" t="s">
        <v>56</v>
      </c>
      <c r="AA14" s="27" t="e">
        <f>((0.000042*X22^2)-(0.02372*X22)+6.1452)</f>
        <v>#VALUE!</v>
      </c>
      <c r="AB14" s="27"/>
      <c r="AC14" s="27"/>
      <c r="AD14" s="27"/>
      <c r="AE14" s="27"/>
      <c r="AF14" s="27"/>
      <c r="AG14" s="27"/>
      <c r="AH14" s="27"/>
      <c r="AI14" s="27"/>
      <c r="AJ14" s="27"/>
      <c r="AK14" s="27"/>
      <c r="AL14" s="27"/>
    </row>
    <row r="15" spans="1:38">
      <c r="A15" s="27"/>
      <c r="B15" s="27" t="s">
        <v>95</v>
      </c>
      <c r="C15" s="27"/>
      <c r="D15" s="27"/>
      <c r="E15" s="5"/>
      <c r="F15" s="27"/>
      <c r="G15" s="27"/>
      <c r="H15" s="32"/>
      <c r="I15" s="27"/>
      <c r="J15" s="27"/>
      <c r="K15" s="27"/>
      <c r="L15" s="27"/>
      <c r="M15" s="27"/>
      <c r="N15" s="27"/>
      <c r="O15" s="27"/>
      <c r="P15" s="27"/>
      <c r="Q15" s="27"/>
      <c r="R15" s="27"/>
      <c r="S15" s="27"/>
      <c r="T15" s="27"/>
      <c r="U15" s="27"/>
      <c r="V15" s="27"/>
      <c r="W15" s="27"/>
      <c r="X15" s="27"/>
      <c r="Y15" s="27"/>
      <c r="Z15" s="27" t="s">
        <v>55</v>
      </c>
      <c r="AA15" s="27" t="e">
        <f>((0.000056*X22^2)-(0.02844*X22)+6.6391)</f>
        <v>#VALUE!</v>
      </c>
      <c r="AB15" s="27"/>
      <c r="AC15" s="27"/>
      <c r="AD15" s="27"/>
      <c r="AE15" s="27"/>
      <c r="AF15" s="27"/>
      <c r="AG15" s="27"/>
      <c r="AH15" s="27"/>
      <c r="AI15" s="27"/>
      <c r="AJ15" s="27"/>
      <c r="AK15" s="27"/>
      <c r="AL15" s="27"/>
    </row>
    <row r="16" spans="1:38">
      <c r="A16" s="27"/>
      <c r="B16" s="27" t="s">
        <v>8</v>
      </c>
      <c r="C16" s="27"/>
      <c r="D16" s="27"/>
      <c r="E16" s="5"/>
      <c r="F16" s="27"/>
      <c r="G16" s="27"/>
      <c r="H16" s="27"/>
      <c r="I16" s="27"/>
      <c r="J16" s="27"/>
      <c r="K16" s="27"/>
      <c r="L16" s="27"/>
      <c r="M16" s="27"/>
      <c r="N16" s="27"/>
      <c r="O16" s="33"/>
      <c r="P16" s="33"/>
      <c r="Q16" s="27"/>
      <c r="R16" s="27"/>
      <c r="S16" s="27"/>
      <c r="T16" s="27"/>
      <c r="U16" s="27"/>
      <c r="V16" s="27"/>
      <c r="W16" s="27"/>
      <c r="X16" s="27"/>
      <c r="Y16" s="27"/>
      <c r="Z16" s="27" t="s">
        <v>72</v>
      </c>
      <c r="AA16" s="27" t="e">
        <f>IF(AA14*((0.0023*M22)+0.9644)&lt;AA15,AA15,AA14*((0.0023*M22)+0.9644))</f>
        <v>#VALUE!</v>
      </c>
      <c r="AB16" s="27"/>
      <c r="AC16" s="27"/>
      <c r="AD16" s="27"/>
      <c r="AE16" s="27"/>
      <c r="AF16" s="27"/>
      <c r="AG16" s="27"/>
      <c r="AH16" s="27"/>
      <c r="AI16" s="27"/>
      <c r="AJ16" s="27"/>
      <c r="AK16" s="27"/>
      <c r="AL16" s="27"/>
    </row>
    <row r="17" spans="1:38">
      <c r="A17" s="27"/>
      <c r="B17" s="27" t="s">
        <v>17</v>
      </c>
      <c r="C17" s="27"/>
      <c r="D17" s="27"/>
      <c r="E17" s="5"/>
      <c r="F17" s="27"/>
      <c r="G17" s="27"/>
      <c r="H17" s="27"/>
      <c r="I17" s="27"/>
      <c r="J17" s="27"/>
      <c r="K17" s="27"/>
      <c r="L17" s="27"/>
      <c r="M17" s="27"/>
      <c r="N17" s="27"/>
      <c r="O17" s="33"/>
      <c r="P17" s="33"/>
      <c r="Q17" s="27"/>
      <c r="R17" s="27"/>
      <c r="S17" s="27"/>
      <c r="T17" s="27"/>
      <c r="U17" s="27"/>
      <c r="V17" s="27"/>
      <c r="W17" s="34"/>
      <c r="X17" s="27"/>
      <c r="Y17" s="27"/>
      <c r="Z17" s="27" t="s">
        <v>73</v>
      </c>
      <c r="AA17" s="27" t="e">
        <f>AVERAGE(AA14,AA15)</f>
        <v>#VALUE!</v>
      </c>
      <c r="AB17" s="27"/>
      <c r="AC17" s="27"/>
      <c r="AD17" s="27"/>
      <c r="AE17" s="27"/>
      <c r="AF17" s="27"/>
      <c r="AG17" s="27"/>
      <c r="AH17" s="27"/>
      <c r="AI17" s="27"/>
      <c r="AJ17" s="27"/>
      <c r="AK17" s="27"/>
      <c r="AL17" s="27"/>
    </row>
    <row r="18" spans="1:38">
      <c r="A18" s="27"/>
      <c r="B18" s="27" t="s">
        <v>9</v>
      </c>
      <c r="C18" s="27"/>
      <c r="D18" s="27"/>
      <c r="E18" s="5"/>
      <c r="F18" s="27"/>
      <c r="G18" s="27"/>
      <c r="H18" s="27"/>
      <c r="I18" s="27"/>
      <c r="J18" s="27"/>
      <c r="K18" s="27"/>
      <c r="L18" s="27"/>
      <c r="M18" s="27"/>
      <c r="N18" s="27"/>
      <c r="O18" s="33"/>
      <c r="P18" s="33"/>
      <c r="Q18" s="27"/>
      <c r="R18" s="27"/>
      <c r="S18" s="27"/>
      <c r="T18" s="35"/>
      <c r="U18" s="27"/>
      <c r="V18" s="35"/>
      <c r="W18" s="34"/>
      <c r="X18" s="27"/>
      <c r="Y18" s="27"/>
      <c r="Z18" s="27" t="s">
        <v>74</v>
      </c>
      <c r="AA18" s="27" t="e">
        <f>AVERAGE(AA16,AA15)</f>
        <v>#VALUE!</v>
      </c>
      <c r="AB18" s="27"/>
      <c r="AC18" s="27"/>
      <c r="AD18" s="27"/>
      <c r="AE18" s="27"/>
      <c r="AF18" s="27"/>
      <c r="AG18" s="27"/>
      <c r="AH18" s="27"/>
      <c r="AI18" s="27"/>
      <c r="AJ18" s="27"/>
      <c r="AK18" s="27"/>
      <c r="AL18" s="27"/>
    </row>
    <row r="19" spans="1:38">
      <c r="A19" s="27"/>
      <c r="B19" s="27"/>
      <c r="C19" s="27"/>
      <c r="D19" s="27"/>
      <c r="E19" s="27"/>
      <c r="F19" s="27"/>
      <c r="G19" s="27"/>
      <c r="H19" s="27"/>
      <c r="I19" s="27"/>
      <c r="J19" s="27"/>
      <c r="K19" s="36"/>
      <c r="L19" s="36"/>
      <c r="M19" s="36"/>
      <c r="N19" s="36"/>
      <c r="O19" s="36"/>
      <c r="P19" s="36"/>
      <c r="Q19" s="36"/>
      <c r="R19" s="36"/>
      <c r="S19" s="27"/>
      <c r="T19" s="35"/>
      <c r="U19" s="27"/>
      <c r="V19" s="35"/>
      <c r="W19" s="34"/>
      <c r="X19" s="27"/>
      <c r="Y19" s="27"/>
      <c r="Z19" s="27"/>
      <c r="AA19" s="27"/>
      <c r="AB19" s="27"/>
      <c r="AC19" s="27"/>
      <c r="AD19" s="27"/>
      <c r="AE19" s="27"/>
      <c r="AF19" s="27"/>
      <c r="AG19" s="27"/>
      <c r="AH19" s="27"/>
      <c r="AI19" s="27"/>
      <c r="AJ19" s="27"/>
      <c r="AK19" s="27"/>
      <c r="AL19" s="27"/>
    </row>
    <row r="20" spans="1:38" ht="15" thickBot="1">
      <c r="A20" s="27"/>
      <c r="B20" s="29"/>
      <c r="C20" s="29"/>
      <c r="D20" s="29"/>
      <c r="E20" s="29"/>
      <c r="F20" s="118" t="s">
        <v>83</v>
      </c>
      <c r="G20" s="118"/>
      <c r="H20" s="29"/>
      <c r="I20" s="119" t="s">
        <v>16</v>
      </c>
      <c r="J20" s="119"/>
      <c r="K20" s="36"/>
      <c r="L20" s="36"/>
      <c r="M20" s="36"/>
      <c r="N20" s="36"/>
      <c r="O20" s="36"/>
      <c r="P20" s="36"/>
      <c r="Q20" s="36"/>
      <c r="R20" s="36"/>
      <c r="S20" s="27"/>
      <c r="T20" s="35"/>
      <c r="U20" s="27"/>
      <c r="V20" s="35"/>
      <c r="W20" s="34"/>
      <c r="X20" s="27"/>
      <c r="Y20" s="27"/>
      <c r="Z20" s="27" t="s">
        <v>79</v>
      </c>
      <c r="AA20" s="27"/>
      <c r="AB20" s="27"/>
      <c r="AC20" s="27"/>
      <c r="AD20" s="27"/>
      <c r="AE20" s="27"/>
      <c r="AF20" s="27"/>
      <c r="AG20" s="27"/>
      <c r="AH20" s="27"/>
      <c r="AI20" s="27"/>
      <c r="AJ20" s="27"/>
      <c r="AK20" s="27"/>
      <c r="AL20" s="27"/>
    </row>
    <row r="21" spans="1:38">
      <c r="A21" s="27"/>
      <c r="B21" s="27"/>
      <c r="C21" s="37" t="s">
        <v>97</v>
      </c>
      <c r="D21" s="38"/>
      <c r="E21" s="116" t="s">
        <v>96</v>
      </c>
      <c r="F21" s="39" t="s">
        <v>6</v>
      </c>
      <c r="G21" s="40" t="s">
        <v>7</v>
      </c>
      <c r="H21" s="27"/>
      <c r="I21" s="41" t="s">
        <v>6</v>
      </c>
      <c r="J21" s="42" t="s">
        <v>7</v>
      </c>
      <c r="K21" s="33"/>
      <c r="L21" s="36"/>
      <c r="M21" s="36" t="s">
        <v>65</v>
      </c>
      <c r="N21" s="36" t="s">
        <v>98</v>
      </c>
      <c r="O21" s="36"/>
      <c r="P21" s="36"/>
      <c r="Q21" s="36" t="s">
        <v>66</v>
      </c>
      <c r="R21" s="36" t="s">
        <v>67</v>
      </c>
      <c r="S21" s="36" t="s">
        <v>68</v>
      </c>
      <c r="T21" s="35" t="s">
        <v>69</v>
      </c>
      <c r="U21" s="27"/>
      <c r="V21" s="35"/>
      <c r="W21" s="34"/>
      <c r="X21" s="27" t="s">
        <v>75</v>
      </c>
      <c r="Y21" s="27"/>
      <c r="Z21" s="27" t="s">
        <v>56</v>
      </c>
      <c r="AA21" s="27" t="e">
        <f>((0.000042*X23^2)-(0.02372*X23)+6.1452)</f>
        <v>#VALUE!</v>
      </c>
      <c r="AB21" s="27"/>
      <c r="AC21" s="27"/>
      <c r="AD21" s="27"/>
      <c r="AE21" s="27"/>
      <c r="AF21" s="27"/>
      <c r="AG21" s="27"/>
      <c r="AH21" s="27"/>
      <c r="AI21" s="27"/>
      <c r="AJ21" s="27"/>
      <c r="AK21" s="27"/>
      <c r="AL21" s="27"/>
    </row>
    <row r="22" spans="1:38">
      <c r="A22" s="27"/>
      <c r="B22" s="115"/>
      <c r="C22" s="155"/>
      <c r="D22" s="155"/>
      <c r="E22" s="156"/>
      <c r="F22" s="117" t="str">
        <f>IFERROR(VLOOKUP($E$14,$Z$14:$AA$18,2,FALSE)*E22*2.204622/10000,"")</f>
        <v/>
      </c>
      <c r="G22" s="6"/>
      <c r="H22" s="27"/>
      <c r="I22" s="157"/>
      <c r="J22" s="6"/>
      <c r="K22" s="44" t="str">
        <f t="shared" ref="K22:K29" si="0">IFERROR(I22-F22,"")</f>
        <v/>
      </c>
      <c r="L22" s="45"/>
      <c r="M22" s="46" t="e">
        <f>IFERROR(AVERAGE(C22:D22),"")/2.204622</f>
        <v>#VALUE!</v>
      </c>
      <c r="N22" s="46">
        <f t="shared" ref="N22:N28" si="1">IF(D22-C22=0,0,D22-C22)</f>
        <v>0</v>
      </c>
      <c r="O22" s="45"/>
      <c r="P22" s="34" t="s">
        <v>87</v>
      </c>
      <c r="Q22" s="47" t="str">
        <f t="shared" ref="Q22:Q28" si="2">IFERROR(0.000001*$M22^3-0.0003*$M22^2+0.038*$M22+0.8558,"")</f>
        <v/>
      </c>
      <c r="R22" s="47" t="str">
        <f t="shared" ref="R22:R28" si="3">IFERROR(Q22/G38,"")</f>
        <v/>
      </c>
      <c r="S22" s="48" t="str">
        <f>IFERROR(Q22*N22*G22/2000,"")</f>
        <v/>
      </c>
      <c r="T22" s="48" t="str">
        <f>IFERROR(R22*N22*J22/2000,"")</f>
        <v/>
      </c>
      <c r="U22" s="27"/>
      <c r="V22" s="35"/>
      <c r="W22" s="34" t="s">
        <v>87</v>
      </c>
      <c r="X22" s="49" t="str">
        <f>IFERROR(M22*2.204622,"")</f>
        <v/>
      </c>
      <c r="Y22" s="27"/>
      <c r="Z22" s="27" t="s">
        <v>55</v>
      </c>
      <c r="AA22" s="27" t="e">
        <f>((0.000056*X23^2)-(0.02844*X23)+6.6391)</f>
        <v>#VALUE!</v>
      </c>
      <c r="AB22" s="27"/>
      <c r="AC22" s="27"/>
      <c r="AD22" s="27"/>
      <c r="AE22" s="27"/>
      <c r="AF22" s="27"/>
      <c r="AG22" s="27"/>
      <c r="AH22" s="27"/>
      <c r="AI22" s="27"/>
      <c r="AJ22" s="27"/>
      <c r="AK22" s="27"/>
      <c r="AL22" s="27"/>
    </row>
    <row r="23" spans="1:38">
      <c r="A23" s="27"/>
      <c r="B23" s="115"/>
      <c r="C23" s="155"/>
      <c r="D23" s="155"/>
      <c r="E23" s="156"/>
      <c r="F23" s="117" t="str">
        <f>IFERROR(VLOOKUP($E$14,$Z$21:$AA$25,2,FALSE)*E23*2.204622/10000,"")</f>
        <v/>
      </c>
      <c r="G23" s="6"/>
      <c r="H23" s="27"/>
      <c r="I23" s="157"/>
      <c r="J23" s="6"/>
      <c r="K23" s="44" t="str">
        <f t="shared" si="0"/>
        <v/>
      </c>
      <c r="L23" s="45"/>
      <c r="M23" s="46" t="e">
        <f t="shared" ref="M23:M28" si="4">IFERROR(AVERAGE(C23:D23),"")/2.204622</f>
        <v>#VALUE!</v>
      </c>
      <c r="N23" s="46">
        <f t="shared" si="1"/>
        <v>0</v>
      </c>
      <c r="O23" s="45"/>
      <c r="P23" s="34" t="s">
        <v>88</v>
      </c>
      <c r="Q23" s="47" t="str">
        <f t="shared" si="2"/>
        <v/>
      </c>
      <c r="R23" s="47" t="str">
        <f t="shared" si="3"/>
        <v/>
      </c>
      <c r="S23" s="48" t="str">
        <f t="shared" ref="S23:S28" si="5">IFERROR(Q23*N23*G23/2000,"")</f>
        <v/>
      </c>
      <c r="T23" s="48" t="str">
        <f t="shared" ref="T23:T28" si="6">IFERROR(R23*N23*J23/2000,"")</f>
        <v/>
      </c>
      <c r="U23" s="27"/>
      <c r="V23" s="27"/>
      <c r="W23" s="34" t="s">
        <v>88</v>
      </c>
      <c r="X23" s="49" t="str">
        <f>IFERROR(M23*2.204622,"")</f>
        <v/>
      </c>
      <c r="Y23" s="27"/>
      <c r="Z23" s="27" t="s">
        <v>72</v>
      </c>
      <c r="AA23" s="27" t="e">
        <f>IF(AA21*((0.0023*M23)+0.9644)&lt;AA22,AA22,AA21*((0.0023*M23)+0.9644))</f>
        <v>#VALUE!</v>
      </c>
      <c r="AB23" s="27"/>
      <c r="AC23" s="27"/>
      <c r="AD23" s="27"/>
      <c r="AE23" s="27"/>
      <c r="AF23" s="27"/>
      <c r="AG23" s="27"/>
      <c r="AH23" s="27"/>
      <c r="AI23" s="27"/>
      <c r="AJ23" s="27"/>
      <c r="AK23" s="27"/>
      <c r="AL23" s="27"/>
    </row>
    <row r="24" spans="1:38">
      <c r="A24" s="27"/>
      <c r="B24" s="115"/>
      <c r="C24" s="155"/>
      <c r="D24" s="155"/>
      <c r="E24" s="156"/>
      <c r="F24" s="117" t="str">
        <f>IFERROR(VLOOKUP($E$14,$Z$31:$AA$35,2,FALSE)*E24*2.204622/10000,"")</f>
        <v/>
      </c>
      <c r="G24" s="6"/>
      <c r="H24" s="27"/>
      <c r="I24" s="157"/>
      <c r="J24" s="6"/>
      <c r="K24" s="44" t="str">
        <f t="shared" si="0"/>
        <v/>
      </c>
      <c r="L24" s="45"/>
      <c r="M24" s="46" t="e">
        <f t="shared" si="4"/>
        <v>#VALUE!</v>
      </c>
      <c r="N24" s="46">
        <f t="shared" si="1"/>
        <v>0</v>
      </c>
      <c r="O24" s="45"/>
      <c r="P24" s="34" t="s">
        <v>89</v>
      </c>
      <c r="Q24" s="47" t="str">
        <f t="shared" si="2"/>
        <v/>
      </c>
      <c r="R24" s="47" t="str">
        <f t="shared" si="3"/>
        <v/>
      </c>
      <c r="S24" s="48" t="str">
        <f t="shared" si="5"/>
        <v/>
      </c>
      <c r="T24" s="48" t="str">
        <f t="shared" si="6"/>
        <v/>
      </c>
      <c r="U24" s="27"/>
      <c r="V24" s="27"/>
      <c r="W24" s="34" t="s">
        <v>89</v>
      </c>
      <c r="X24" s="49" t="str">
        <f>IFERROR(M24*2.204622,"")</f>
        <v/>
      </c>
      <c r="Y24" s="27"/>
      <c r="Z24" s="27" t="s">
        <v>73</v>
      </c>
      <c r="AA24" s="27" t="e">
        <f>AVERAGE(AA21,AA22)</f>
        <v>#VALUE!</v>
      </c>
      <c r="AB24" s="27"/>
      <c r="AC24" s="27"/>
      <c r="AD24" s="27"/>
      <c r="AE24" s="27"/>
      <c r="AF24" s="27"/>
      <c r="AG24" s="27"/>
      <c r="AH24" s="27"/>
      <c r="AI24" s="27"/>
      <c r="AJ24" s="27"/>
      <c r="AK24" s="27"/>
      <c r="AL24" s="27"/>
    </row>
    <row r="25" spans="1:38">
      <c r="A25" s="27"/>
      <c r="B25" s="115"/>
      <c r="C25" s="155"/>
      <c r="D25" s="155"/>
      <c r="E25" s="156"/>
      <c r="F25" s="117" t="str">
        <f>IFERROR(VLOOKUP($E$14,$Z$40:$AA$47,2,FALSE)*E25*2.204622/10000,"")</f>
        <v/>
      </c>
      <c r="G25" s="6"/>
      <c r="H25" s="27"/>
      <c r="I25" s="157"/>
      <c r="J25" s="6"/>
      <c r="K25" s="44" t="str">
        <f t="shared" si="0"/>
        <v/>
      </c>
      <c r="L25" s="45"/>
      <c r="M25" s="46" t="e">
        <f t="shared" si="4"/>
        <v>#VALUE!</v>
      </c>
      <c r="N25" s="46">
        <f t="shared" si="1"/>
        <v>0</v>
      </c>
      <c r="O25" s="45"/>
      <c r="P25" s="34" t="s">
        <v>90</v>
      </c>
      <c r="Q25" s="47" t="str">
        <f t="shared" si="2"/>
        <v/>
      </c>
      <c r="R25" s="47" t="str">
        <f t="shared" si="3"/>
        <v/>
      </c>
      <c r="S25" s="48" t="str">
        <f t="shared" si="5"/>
        <v/>
      </c>
      <c r="T25" s="48" t="str">
        <f t="shared" si="6"/>
        <v/>
      </c>
      <c r="U25" s="27"/>
      <c r="V25" s="27"/>
      <c r="W25" s="34" t="s">
        <v>90</v>
      </c>
      <c r="X25" s="49" t="str">
        <f>IFERROR(M25*2.204622,"")</f>
        <v/>
      </c>
      <c r="Y25" s="27"/>
      <c r="Z25" s="27" t="s">
        <v>74</v>
      </c>
      <c r="AA25" s="27" t="e">
        <f>AVERAGE(AA23,AA22)</f>
        <v>#VALUE!</v>
      </c>
      <c r="AB25" s="27"/>
      <c r="AC25" s="27"/>
      <c r="AD25" s="27"/>
      <c r="AE25" s="27"/>
      <c r="AF25" s="27"/>
      <c r="AG25" s="27"/>
      <c r="AH25" s="27"/>
      <c r="AI25" s="27"/>
      <c r="AJ25" s="27"/>
      <c r="AK25" s="27"/>
      <c r="AL25" s="27"/>
    </row>
    <row r="26" spans="1:38">
      <c r="A26" s="27"/>
      <c r="B26" s="115"/>
      <c r="C26" s="155"/>
      <c r="D26" s="155"/>
      <c r="E26" s="156"/>
      <c r="F26" s="117" t="str">
        <f>IFERROR(VLOOKUP($E$14,$Z$50:$AA$54,2,FALSE)*E26*2.204622/10000,"")</f>
        <v/>
      </c>
      <c r="G26" s="6"/>
      <c r="H26" s="27"/>
      <c r="I26" s="157"/>
      <c r="J26" s="6"/>
      <c r="K26" s="44" t="str">
        <f t="shared" si="0"/>
        <v/>
      </c>
      <c r="L26" s="45"/>
      <c r="M26" s="46" t="e">
        <f t="shared" si="4"/>
        <v>#VALUE!</v>
      </c>
      <c r="N26" s="46">
        <f t="shared" si="1"/>
        <v>0</v>
      </c>
      <c r="O26" s="45"/>
      <c r="P26" s="34" t="s">
        <v>91</v>
      </c>
      <c r="Q26" s="47" t="str">
        <f t="shared" si="2"/>
        <v/>
      </c>
      <c r="R26" s="47" t="str">
        <f t="shared" si="3"/>
        <v/>
      </c>
      <c r="S26" s="48" t="str">
        <f t="shared" si="5"/>
        <v/>
      </c>
      <c r="T26" s="48" t="str">
        <f t="shared" si="6"/>
        <v/>
      </c>
      <c r="U26" s="27"/>
      <c r="V26" s="27"/>
      <c r="W26" s="34" t="s">
        <v>91</v>
      </c>
      <c r="X26" s="49" t="str">
        <f>IFERROR(M26*2.204622,"")</f>
        <v/>
      </c>
      <c r="Y26" s="27"/>
      <c r="Z26" s="27"/>
      <c r="AA26" s="27"/>
      <c r="AB26" s="27"/>
      <c r="AC26" s="27"/>
      <c r="AD26" s="27"/>
      <c r="AE26" s="27"/>
      <c r="AF26" s="27"/>
      <c r="AG26" s="27"/>
      <c r="AH26" s="27"/>
      <c r="AI26" s="27"/>
      <c r="AJ26" s="27"/>
      <c r="AK26" s="27"/>
      <c r="AL26" s="27"/>
    </row>
    <row r="27" spans="1:38">
      <c r="A27" s="27"/>
      <c r="B27" s="27"/>
      <c r="C27" s="155"/>
      <c r="D27" s="155"/>
      <c r="E27" s="156"/>
      <c r="F27" s="117" t="str">
        <f>IFERROR(VLOOKUP($E$14,$Z$57:$AA$61,2,FALSE)*E27*2.204622/10000,"")</f>
        <v/>
      </c>
      <c r="G27" s="6"/>
      <c r="H27" s="27"/>
      <c r="I27" s="157"/>
      <c r="J27" s="6"/>
      <c r="K27" s="44" t="str">
        <f t="shared" si="0"/>
        <v/>
      </c>
      <c r="L27" s="45"/>
      <c r="M27" s="46" t="e">
        <f t="shared" si="4"/>
        <v>#VALUE!</v>
      </c>
      <c r="N27" s="46">
        <f t="shared" si="1"/>
        <v>0</v>
      </c>
      <c r="O27" s="45"/>
      <c r="P27" s="34" t="s">
        <v>92</v>
      </c>
      <c r="Q27" s="47" t="str">
        <f t="shared" si="2"/>
        <v/>
      </c>
      <c r="R27" s="47" t="str">
        <f t="shared" si="3"/>
        <v/>
      </c>
      <c r="S27" s="48" t="str">
        <f t="shared" si="5"/>
        <v/>
      </c>
      <c r="T27" s="48" t="str">
        <f t="shared" si="6"/>
        <v/>
      </c>
      <c r="U27" s="27"/>
      <c r="V27" s="27"/>
      <c r="W27" s="34" t="s">
        <v>92</v>
      </c>
      <c r="X27" s="49" t="str">
        <f t="shared" ref="X27:X28" si="7">IFERROR(M27*2.204622,"")</f>
        <v/>
      </c>
      <c r="Y27" s="27"/>
      <c r="Z27" s="27"/>
      <c r="AA27" s="27"/>
      <c r="AB27" s="27"/>
      <c r="AC27" s="27"/>
      <c r="AD27" s="27"/>
      <c r="AE27" s="27"/>
      <c r="AF27" s="27"/>
      <c r="AG27" s="27"/>
      <c r="AH27" s="27"/>
      <c r="AI27" s="27"/>
      <c r="AJ27" s="27"/>
      <c r="AK27" s="27"/>
      <c r="AL27" s="27"/>
    </row>
    <row r="28" spans="1:38">
      <c r="A28" s="27"/>
      <c r="B28" s="27"/>
      <c r="C28" s="155"/>
      <c r="D28" s="155"/>
      <c r="E28" s="156"/>
      <c r="F28" s="117" t="str">
        <f>IFERROR(VLOOKUP($E$14,$Z$64:$AA$68,2,FALSE)*E28*2.204622/10000,"")</f>
        <v/>
      </c>
      <c r="G28" s="6"/>
      <c r="H28" s="27"/>
      <c r="I28" s="157"/>
      <c r="J28" s="6"/>
      <c r="K28" s="44" t="str">
        <f t="shared" si="0"/>
        <v/>
      </c>
      <c r="L28" s="45"/>
      <c r="M28" s="46" t="e">
        <f t="shared" si="4"/>
        <v>#VALUE!</v>
      </c>
      <c r="N28" s="46">
        <f t="shared" si="1"/>
        <v>0</v>
      </c>
      <c r="O28" s="45"/>
      <c r="P28" s="34" t="s">
        <v>93</v>
      </c>
      <c r="Q28" s="47" t="str">
        <f t="shared" si="2"/>
        <v/>
      </c>
      <c r="R28" s="47" t="str">
        <f t="shared" si="3"/>
        <v/>
      </c>
      <c r="S28" s="48" t="str">
        <f t="shared" si="5"/>
        <v/>
      </c>
      <c r="T28" s="48" t="str">
        <f t="shared" si="6"/>
        <v/>
      </c>
      <c r="U28" s="27"/>
      <c r="V28" s="27"/>
      <c r="W28" s="34" t="s">
        <v>93</v>
      </c>
      <c r="X28" s="49" t="str">
        <f t="shared" si="7"/>
        <v/>
      </c>
      <c r="Y28" s="27"/>
      <c r="Z28" s="27"/>
      <c r="AA28" s="27"/>
      <c r="AB28" s="27"/>
      <c r="AC28" s="27"/>
      <c r="AD28" s="27"/>
      <c r="AE28" s="27"/>
      <c r="AF28" s="27"/>
      <c r="AG28" s="27"/>
      <c r="AH28" s="27"/>
      <c r="AI28" s="27"/>
      <c r="AJ28" s="27"/>
      <c r="AK28" s="27"/>
      <c r="AL28" s="27"/>
    </row>
    <row r="29" spans="1:38" hidden="1">
      <c r="A29" s="27"/>
      <c r="B29" s="27"/>
      <c r="C29" s="50"/>
      <c r="D29" s="50"/>
      <c r="E29" s="51"/>
      <c r="F29" s="43"/>
      <c r="G29" s="52"/>
      <c r="H29" s="27"/>
      <c r="I29" s="53"/>
      <c r="J29" s="52"/>
      <c r="K29" s="44">
        <f t="shared" si="0"/>
        <v>0</v>
      </c>
      <c r="L29" s="45"/>
      <c r="M29" s="46"/>
      <c r="N29" s="46"/>
      <c r="O29" s="45"/>
      <c r="P29" s="27"/>
      <c r="Q29" s="47"/>
      <c r="R29" s="47"/>
      <c r="S29" s="48"/>
      <c r="T29" s="48"/>
      <c r="U29" s="27"/>
      <c r="V29" s="27"/>
      <c r="W29" s="27"/>
      <c r="X29" s="49"/>
      <c r="Y29" s="27"/>
      <c r="Z29" s="27"/>
      <c r="AA29" s="27"/>
      <c r="AB29" s="27"/>
      <c r="AC29" s="27"/>
      <c r="AD29" s="27"/>
      <c r="AE29" s="27"/>
      <c r="AF29" s="27"/>
      <c r="AG29" s="27"/>
      <c r="AH29" s="27"/>
      <c r="AI29" s="27"/>
      <c r="AJ29" s="27"/>
      <c r="AK29" s="27"/>
      <c r="AL29" s="27"/>
    </row>
    <row r="30" spans="1:38" hidden="1">
      <c r="A30" s="27"/>
      <c r="B30" s="54"/>
      <c r="C30" s="54"/>
      <c r="D30" s="54"/>
      <c r="E30" s="54"/>
      <c r="F30" s="43"/>
      <c r="G30" s="55"/>
      <c r="H30" s="27"/>
      <c r="I30" s="56"/>
      <c r="J30" s="57"/>
      <c r="K30" s="33"/>
      <c r="L30" s="45"/>
      <c r="M30" s="45"/>
      <c r="N30" s="58">
        <f>SUM(N22:N28)/2.204622</f>
        <v>0</v>
      </c>
      <c r="O30" s="58"/>
      <c r="P30" s="27"/>
      <c r="Q30" s="45"/>
      <c r="R30" s="45"/>
      <c r="S30" s="48">
        <f>SUM(S22:S28)</f>
        <v>0</v>
      </c>
      <c r="T30" s="48">
        <f>SUM(T22:T28)</f>
        <v>0</v>
      </c>
      <c r="U30" s="27"/>
      <c r="V30" s="27"/>
      <c r="W30" s="27"/>
      <c r="X30" s="49"/>
      <c r="Y30" s="27"/>
      <c r="Z30" s="27" t="s">
        <v>80</v>
      </c>
      <c r="AA30" s="27"/>
      <c r="AB30" s="27"/>
      <c r="AC30" s="27"/>
      <c r="AD30" s="27"/>
      <c r="AE30" s="27"/>
      <c r="AF30" s="27"/>
      <c r="AG30" s="27"/>
      <c r="AH30" s="27"/>
      <c r="AI30" s="27"/>
      <c r="AJ30" s="27"/>
      <c r="AK30" s="27"/>
      <c r="AL30" s="27"/>
    </row>
    <row r="31" spans="1:38" hidden="1">
      <c r="A31" s="27"/>
      <c r="B31" s="59">
        <v>1</v>
      </c>
      <c r="C31" s="60" t="s">
        <v>0</v>
      </c>
      <c r="D31" s="61" t="str">
        <f t="shared" ref="D31:D37" si="8">IFERROR(1.1298+(-0.00162*$M22*2.2046)+(0.000004267*($M22*2.2046)^2)+0.3757*(0),"")</f>
        <v/>
      </c>
      <c r="E31" s="62"/>
      <c r="F31" s="61" t="str">
        <f t="shared" ref="F31:F37" si="9">IFERROR(1.1298+(-0.00162*$M22*2.2046)+(0.000004267*($M22*2.2046)^2)+0.3757*($K22),"")</f>
        <v/>
      </c>
      <c r="G31" s="63">
        <f t="shared" ref="G31:G42" si="10">IFERROR(F31/D31,0)</f>
        <v>0</v>
      </c>
      <c r="H31" s="64"/>
      <c r="I31" s="65"/>
      <c r="J31" s="27"/>
      <c r="K31" s="27"/>
      <c r="L31" s="27"/>
      <c r="M31" s="27"/>
      <c r="N31" s="27"/>
      <c r="O31" s="27"/>
      <c r="P31" s="27"/>
      <c r="Q31" s="27"/>
      <c r="R31" s="66"/>
      <c r="S31" s="67" t="e">
        <f>S30/N30</f>
        <v>#DIV/0!</v>
      </c>
      <c r="T31" s="67" t="e">
        <f>T30/N30</f>
        <v>#DIV/0!</v>
      </c>
      <c r="U31" s="27"/>
      <c r="V31" s="27"/>
      <c r="W31" s="27"/>
      <c r="X31" s="49"/>
      <c r="Y31" s="27"/>
      <c r="Z31" s="27" t="s">
        <v>56</v>
      </c>
      <c r="AA31" s="27" t="e">
        <f>((0.000042*X24^2)-(0.02372*X24)+6.1452)</f>
        <v>#VALUE!</v>
      </c>
      <c r="AB31" s="27"/>
      <c r="AC31" s="27"/>
      <c r="AD31" s="27"/>
      <c r="AE31" s="27"/>
      <c r="AF31" s="27"/>
      <c r="AG31" s="27"/>
      <c r="AH31" s="27"/>
      <c r="AI31" s="27"/>
      <c r="AJ31" s="27"/>
      <c r="AK31" s="27"/>
      <c r="AL31" s="27"/>
    </row>
    <row r="32" spans="1:38" hidden="1">
      <c r="A32" s="27"/>
      <c r="B32" s="59">
        <v>2</v>
      </c>
      <c r="C32" s="60" t="s">
        <v>0</v>
      </c>
      <c r="D32" s="61" t="str">
        <f t="shared" si="8"/>
        <v/>
      </c>
      <c r="E32" s="62"/>
      <c r="F32" s="61" t="str">
        <f t="shared" si="9"/>
        <v/>
      </c>
      <c r="G32" s="63">
        <f t="shared" si="10"/>
        <v>0</v>
      </c>
      <c r="H32" s="64"/>
      <c r="I32" s="64"/>
      <c r="J32" s="27"/>
      <c r="K32" s="27"/>
      <c r="L32" s="27"/>
      <c r="M32" s="27"/>
      <c r="N32" s="27"/>
      <c r="O32" s="27"/>
      <c r="P32" s="27"/>
      <c r="Q32" s="27"/>
      <c r="R32" s="27"/>
      <c r="S32" s="27"/>
      <c r="T32" s="27"/>
      <c r="U32" s="27"/>
      <c r="V32" s="27"/>
      <c r="W32" s="27"/>
      <c r="X32" s="49"/>
      <c r="Y32" s="27"/>
      <c r="Z32" s="27" t="s">
        <v>55</v>
      </c>
      <c r="AA32" s="27" t="e">
        <f>((0.000056*X24^2)-(0.02844*X24)+6.6391)</f>
        <v>#VALUE!</v>
      </c>
      <c r="AB32" s="27"/>
      <c r="AC32" s="27"/>
      <c r="AD32" s="27"/>
      <c r="AE32" s="27"/>
      <c r="AF32" s="27"/>
      <c r="AG32" s="27"/>
      <c r="AH32" s="27"/>
      <c r="AI32" s="27"/>
      <c r="AJ32" s="27"/>
      <c r="AK32" s="27"/>
      <c r="AL32" s="27"/>
    </row>
    <row r="33" spans="1:38" hidden="1">
      <c r="A33" s="27"/>
      <c r="B33" s="68">
        <v>3</v>
      </c>
      <c r="C33" s="60" t="s">
        <v>0</v>
      </c>
      <c r="D33" s="61" t="str">
        <f t="shared" si="8"/>
        <v/>
      </c>
      <c r="E33" s="62"/>
      <c r="F33" s="61" t="str">
        <f t="shared" si="9"/>
        <v/>
      </c>
      <c r="G33" s="63">
        <f t="shared" si="10"/>
        <v>0</v>
      </c>
      <c r="H33" s="59"/>
      <c r="I33" s="69"/>
      <c r="J33" s="27"/>
      <c r="K33" s="27"/>
      <c r="L33" s="27"/>
      <c r="M33" s="27"/>
      <c r="N33" s="27"/>
      <c r="O33" s="27"/>
      <c r="P33" s="70"/>
      <c r="Q33" s="27"/>
      <c r="R33" s="70"/>
      <c r="S33" s="71"/>
      <c r="T33" s="27"/>
      <c r="U33" s="27"/>
      <c r="V33" s="27"/>
      <c r="W33" s="70"/>
      <c r="X33" s="49"/>
      <c r="Y33" s="27"/>
      <c r="Z33" s="27" t="s">
        <v>72</v>
      </c>
      <c r="AA33" s="27" t="e">
        <f>IF(AA31*((0.0023*M24)+0.9644)&lt;AA32,AA32,AA31*((0.0023*M24)+0.9644))</f>
        <v>#VALUE!</v>
      </c>
      <c r="AB33" s="27"/>
      <c r="AC33" s="27"/>
      <c r="AD33" s="27"/>
      <c r="AE33" s="27"/>
      <c r="AF33" s="27"/>
      <c r="AG33" s="27"/>
      <c r="AH33" s="27"/>
      <c r="AI33" s="27"/>
      <c r="AJ33" s="27"/>
      <c r="AK33" s="27"/>
      <c r="AL33" s="27"/>
    </row>
    <row r="34" spans="1:38" hidden="1">
      <c r="A34" s="27"/>
      <c r="B34" s="68">
        <v>4</v>
      </c>
      <c r="C34" s="60" t="s">
        <v>0</v>
      </c>
      <c r="D34" s="61" t="str">
        <f t="shared" si="8"/>
        <v/>
      </c>
      <c r="E34" s="62"/>
      <c r="F34" s="61" t="str">
        <f t="shared" si="9"/>
        <v/>
      </c>
      <c r="G34" s="63">
        <f t="shared" si="10"/>
        <v>0</v>
      </c>
      <c r="H34" s="59"/>
      <c r="I34" s="59"/>
      <c r="J34" s="27"/>
      <c r="K34" s="27"/>
      <c r="L34" s="27"/>
      <c r="M34" s="27"/>
      <c r="N34" s="27"/>
      <c r="O34" s="27"/>
      <c r="P34" s="70"/>
      <c r="Q34" s="27"/>
      <c r="R34" s="70"/>
      <c r="S34" s="27"/>
      <c r="T34" s="27"/>
      <c r="U34" s="27"/>
      <c r="V34" s="27"/>
      <c r="W34" s="70"/>
      <c r="X34" s="49"/>
      <c r="Y34" s="27"/>
      <c r="Z34" s="27" t="s">
        <v>73</v>
      </c>
      <c r="AA34" s="27" t="e">
        <f>AVERAGE(AA31,AA32)</f>
        <v>#VALUE!</v>
      </c>
      <c r="AB34" s="27"/>
      <c r="AC34" s="27"/>
      <c r="AD34" s="27"/>
      <c r="AE34" s="27"/>
      <c r="AF34" s="27"/>
      <c r="AG34" s="27"/>
      <c r="AH34" s="27"/>
      <c r="AI34" s="27"/>
      <c r="AJ34" s="27"/>
      <c r="AK34" s="27"/>
      <c r="AL34" s="27"/>
    </row>
    <row r="35" spans="1:38" hidden="1">
      <c r="A35" s="27"/>
      <c r="B35" s="68">
        <v>5</v>
      </c>
      <c r="C35" s="60" t="s">
        <v>0</v>
      </c>
      <c r="D35" s="61" t="str">
        <f t="shared" si="8"/>
        <v/>
      </c>
      <c r="E35" s="62"/>
      <c r="F35" s="61" t="str">
        <f t="shared" si="9"/>
        <v/>
      </c>
      <c r="G35" s="63">
        <f t="shared" si="10"/>
        <v>0</v>
      </c>
      <c r="H35" s="59"/>
      <c r="I35" s="72"/>
      <c r="J35" s="27"/>
      <c r="K35" s="27"/>
      <c r="L35" s="27"/>
      <c r="M35" s="27"/>
      <c r="N35" s="27"/>
      <c r="O35" s="27"/>
      <c r="P35" s="70"/>
      <c r="Q35" s="27"/>
      <c r="R35" s="70"/>
      <c r="S35" s="27"/>
      <c r="T35" s="27"/>
      <c r="U35" s="27"/>
      <c r="V35" s="27"/>
      <c r="W35" s="70"/>
      <c r="X35" s="49"/>
      <c r="Y35" s="27"/>
      <c r="Z35" s="27" t="s">
        <v>74</v>
      </c>
      <c r="AA35" s="27" t="e">
        <f>AVERAGE(AA33,AA32)</f>
        <v>#VALUE!</v>
      </c>
      <c r="AB35" s="27"/>
      <c r="AC35" s="27"/>
      <c r="AD35" s="27"/>
      <c r="AE35" s="27"/>
      <c r="AF35" s="27"/>
      <c r="AG35" s="27"/>
      <c r="AH35" s="27"/>
      <c r="AI35" s="27"/>
      <c r="AJ35" s="27"/>
      <c r="AK35" s="27"/>
      <c r="AL35" s="27"/>
    </row>
    <row r="36" spans="1:38" hidden="1">
      <c r="A36" s="27"/>
      <c r="B36" s="59">
        <v>6</v>
      </c>
      <c r="C36" s="60" t="s">
        <v>0</v>
      </c>
      <c r="D36" s="61" t="str">
        <f t="shared" si="8"/>
        <v/>
      </c>
      <c r="E36" s="62"/>
      <c r="F36" s="61" t="str">
        <f t="shared" si="9"/>
        <v/>
      </c>
      <c r="G36" s="63">
        <f>IFERROR(F36/D36,0)</f>
        <v>0</v>
      </c>
      <c r="H36" s="59"/>
      <c r="I36" s="72"/>
      <c r="J36" s="27"/>
      <c r="K36" s="27"/>
      <c r="L36" s="27"/>
      <c r="M36" s="27"/>
      <c r="N36" s="27"/>
      <c r="O36" s="27"/>
      <c r="P36" s="70"/>
      <c r="Q36" s="27"/>
      <c r="R36" s="70"/>
      <c r="S36" s="27"/>
      <c r="T36" s="27"/>
      <c r="U36" s="27"/>
      <c r="V36" s="27"/>
      <c r="W36" s="70"/>
      <c r="X36" s="49"/>
      <c r="Y36" s="27"/>
      <c r="Z36" s="27"/>
      <c r="AA36" s="27"/>
      <c r="AB36" s="27"/>
      <c r="AC36" s="27"/>
      <c r="AD36" s="27"/>
      <c r="AE36" s="27"/>
      <c r="AF36" s="27"/>
      <c r="AG36" s="27"/>
      <c r="AH36" s="27"/>
      <c r="AI36" s="27"/>
      <c r="AJ36" s="27"/>
      <c r="AK36" s="27"/>
      <c r="AL36" s="27"/>
    </row>
    <row r="37" spans="1:38" hidden="1">
      <c r="A37" s="27"/>
      <c r="B37" s="59">
        <v>7</v>
      </c>
      <c r="C37" s="60" t="s">
        <v>0</v>
      </c>
      <c r="D37" s="61" t="str">
        <f t="shared" si="8"/>
        <v/>
      </c>
      <c r="E37" s="62"/>
      <c r="F37" s="61" t="str">
        <f t="shared" si="9"/>
        <v/>
      </c>
      <c r="G37" s="63">
        <f>IFERROR(F37/D37,0)</f>
        <v>0</v>
      </c>
      <c r="H37" s="59"/>
      <c r="I37" s="72"/>
      <c r="J37" s="27"/>
      <c r="K37" s="27"/>
      <c r="L37" s="27"/>
      <c r="M37" s="27"/>
      <c r="N37" s="27"/>
      <c r="O37" s="27"/>
      <c r="P37" s="70"/>
      <c r="Q37" s="27"/>
      <c r="R37" s="70"/>
      <c r="S37" s="27"/>
      <c r="T37" s="27"/>
      <c r="U37" s="27"/>
      <c r="V37" s="27"/>
      <c r="W37" s="70"/>
      <c r="X37" s="49"/>
      <c r="Y37" s="27"/>
      <c r="Z37" s="27"/>
      <c r="AA37" s="27"/>
      <c r="AB37" s="27"/>
      <c r="AC37" s="27"/>
      <c r="AD37" s="27"/>
      <c r="AE37" s="27"/>
      <c r="AF37" s="27"/>
      <c r="AG37" s="27"/>
      <c r="AH37" s="27"/>
      <c r="AI37" s="27"/>
      <c r="AJ37" s="27"/>
      <c r="AK37" s="27"/>
      <c r="AL37" s="27"/>
    </row>
    <row r="38" spans="1:38" hidden="1">
      <c r="A38" s="27"/>
      <c r="B38" s="59">
        <v>1</v>
      </c>
      <c r="C38" s="60" t="s">
        <v>1</v>
      </c>
      <c r="D38" s="73" t="str">
        <f t="shared" ref="D38:D44" si="11">IFERROR(1.0532+(-0.00083*$M22*2.2046)+(0.000002369*($M22*2.2046)^2)+0.3235*(0),"")</f>
        <v/>
      </c>
      <c r="E38" s="62"/>
      <c r="F38" s="73" t="str">
        <f t="shared" ref="F38:F44" si="12">IFERROR(1.0532+(-0.00083*$M22*2.2046)+(0.000002369*($M22*2.2046)^2)+0.3235*(K22),"")</f>
        <v/>
      </c>
      <c r="G38" s="63">
        <f t="shared" si="10"/>
        <v>0</v>
      </c>
      <c r="H38" s="59"/>
      <c r="I38" s="59"/>
      <c r="J38" s="27"/>
      <c r="K38" s="27"/>
      <c r="L38" s="27"/>
      <c r="M38" s="27"/>
      <c r="N38" s="27"/>
      <c r="O38" s="27"/>
      <c r="P38" s="70"/>
      <c r="Q38" s="27"/>
      <c r="R38" s="70"/>
      <c r="S38" s="27"/>
      <c r="T38" s="27"/>
      <c r="U38" s="27"/>
      <c r="V38" s="27"/>
      <c r="W38" s="70"/>
      <c r="X38" s="49"/>
      <c r="Y38" s="27"/>
      <c r="Z38" s="27"/>
      <c r="AA38" s="27"/>
      <c r="AB38" s="27"/>
      <c r="AC38" s="27"/>
      <c r="AD38" s="27"/>
      <c r="AE38" s="27"/>
      <c r="AF38" s="27"/>
      <c r="AG38" s="27"/>
      <c r="AH38" s="27"/>
      <c r="AI38" s="27"/>
      <c r="AJ38" s="27"/>
      <c r="AK38" s="27"/>
      <c r="AL38" s="27"/>
    </row>
    <row r="39" spans="1:38" hidden="1">
      <c r="A39" s="27"/>
      <c r="B39" s="59">
        <v>2</v>
      </c>
      <c r="C39" s="60" t="s">
        <v>1</v>
      </c>
      <c r="D39" s="73" t="str">
        <f t="shared" si="11"/>
        <v/>
      </c>
      <c r="E39" s="62"/>
      <c r="F39" s="73" t="str">
        <f t="shared" si="12"/>
        <v/>
      </c>
      <c r="G39" s="63">
        <f t="shared" si="10"/>
        <v>0</v>
      </c>
      <c r="H39" s="59"/>
      <c r="I39" s="69"/>
      <c r="J39" s="27"/>
      <c r="K39" s="27"/>
      <c r="L39" s="27"/>
      <c r="M39" s="27"/>
      <c r="N39" s="27"/>
      <c r="O39" s="27"/>
      <c r="P39" s="70"/>
      <c r="Q39" s="27"/>
      <c r="R39" s="70"/>
      <c r="S39" s="27"/>
      <c r="T39" s="27"/>
      <c r="U39" s="27"/>
      <c r="V39" s="27"/>
      <c r="W39" s="70"/>
      <c r="X39" s="49"/>
      <c r="Y39" s="27"/>
      <c r="Z39" s="27" t="s">
        <v>81</v>
      </c>
      <c r="AA39" s="27"/>
      <c r="AB39" s="27"/>
      <c r="AC39" s="27"/>
      <c r="AD39" s="27"/>
      <c r="AE39" s="27"/>
      <c r="AF39" s="27"/>
      <c r="AG39" s="27"/>
      <c r="AH39" s="27"/>
      <c r="AI39" s="27"/>
      <c r="AJ39" s="27"/>
      <c r="AK39" s="27"/>
      <c r="AL39" s="27"/>
    </row>
    <row r="40" spans="1:38" hidden="1">
      <c r="A40" s="27"/>
      <c r="B40" s="68">
        <v>3</v>
      </c>
      <c r="C40" s="60" t="s">
        <v>1</v>
      </c>
      <c r="D40" s="73" t="str">
        <f t="shared" si="11"/>
        <v/>
      </c>
      <c r="E40" s="62"/>
      <c r="F40" s="73" t="str">
        <f t="shared" si="12"/>
        <v/>
      </c>
      <c r="G40" s="63">
        <f t="shared" si="10"/>
        <v>0</v>
      </c>
      <c r="H40" s="59"/>
      <c r="I40" s="59"/>
      <c r="J40" s="27"/>
      <c r="K40" s="27"/>
      <c r="L40" s="27"/>
      <c r="M40" s="27"/>
      <c r="N40" s="27"/>
      <c r="O40" s="27"/>
      <c r="P40" s="70"/>
      <c r="Q40" s="27"/>
      <c r="R40" s="70"/>
      <c r="S40" s="27"/>
      <c r="T40" s="27"/>
      <c r="U40" s="27"/>
      <c r="V40" s="27"/>
      <c r="W40" s="70"/>
      <c r="X40" s="49"/>
      <c r="Y40" s="27"/>
      <c r="Z40" s="27" t="s">
        <v>56</v>
      </c>
      <c r="AA40" s="27" t="e">
        <f>((0.000042*X25^2)-(0.02372*X25)+6.1452)</f>
        <v>#VALUE!</v>
      </c>
      <c r="AB40" s="27"/>
      <c r="AC40" s="27"/>
      <c r="AD40" s="27"/>
      <c r="AE40" s="27"/>
      <c r="AF40" s="27"/>
      <c r="AG40" s="27"/>
      <c r="AH40" s="27"/>
      <c r="AI40" s="27"/>
      <c r="AJ40" s="27"/>
      <c r="AK40" s="27"/>
      <c r="AL40" s="27"/>
    </row>
    <row r="41" spans="1:38" hidden="1">
      <c r="A41" s="27"/>
      <c r="B41" s="68">
        <v>4</v>
      </c>
      <c r="C41" s="60" t="s">
        <v>1</v>
      </c>
      <c r="D41" s="73" t="str">
        <f t="shared" si="11"/>
        <v/>
      </c>
      <c r="E41" s="62"/>
      <c r="F41" s="73" t="str">
        <f t="shared" si="12"/>
        <v/>
      </c>
      <c r="G41" s="63">
        <f t="shared" si="10"/>
        <v>0</v>
      </c>
      <c r="H41" s="59"/>
      <c r="I41" s="69"/>
      <c r="J41" s="27"/>
      <c r="K41" s="27"/>
      <c r="L41" s="27"/>
      <c r="M41" s="27"/>
      <c r="N41" s="27"/>
      <c r="O41" s="27"/>
      <c r="P41" s="70"/>
      <c r="Q41" s="27"/>
      <c r="R41" s="70"/>
      <c r="S41" s="27"/>
      <c r="T41" s="27"/>
      <c r="U41" s="27"/>
      <c r="V41" s="27"/>
      <c r="W41" s="70"/>
      <c r="X41" s="49"/>
      <c r="Y41" s="27"/>
      <c r="Z41" s="27" t="s">
        <v>55</v>
      </c>
      <c r="AA41" s="27" t="e">
        <f>((0.000056*X25^2)-(0.02844*X25)+6.6391)</f>
        <v>#VALUE!</v>
      </c>
      <c r="AB41" s="27"/>
      <c r="AC41" s="27"/>
      <c r="AD41" s="27"/>
      <c r="AE41" s="27"/>
      <c r="AF41" s="27"/>
      <c r="AG41" s="27"/>
      <c r="AH41" s="27"/>
      <c r="AI41" s="27"/>
      <c r="AJ41" s="27"/>
      <c r="AK41" s="27"/>
      <c r="AL41" s="27"/>
    </row>
    <row r="42" spans="1:38" hidden="1">
      <c r="A42" s="27"/>
      <c r="B42" s="68">
        <v>5</v>
      </c>
      <c r="C42" s="60" t="s">
        <v>1</v>
      </c>
      <c r="D42" s="73" t="str">
        <f t="shared" si="11"/>
        <v/>
      </c>
      <c r="E42" s="62"/>
      <c r="F42" s="73" t="str">
        <f t="shared" si="12"/>
        <v/>
      </c>
      <c r="G42" s="63">
        <f t="shared" si="10"/>
        <v>0</v>
      </c>
      <c r="H42" s="59"/>
      <c r="I42" s="59"/>
      <c r="J42" s="27"/>
      <c r="K42" s="27"/>
      <c r="L42" s="27"/>
      <c r="M42" s="27"/>
      <c r="N42" s="27"/>
      <c r="O42" s="27"/>
      <c r="P42" s="70"/>
      <c r="Q42" s="27"/>
      <c r="R42" s="70"/>
      <c r="S42" s="27"/>
      <c r="T42" s="27"/>
      <c r="U42" s="27"/>
      <c r="V42" s="27"/>
      <c r="W42" s="70"/>
      <c r="X42" s="49"/>
      <c r="Y42" s="27"/>
      <c r="Z42" s="27" t="s">
        <v>72</v>
      </c>
      <c r="AA42" s="27" t="e">
        <f>IF(AA40*((0.0023*M25)+0.9644)&lt;AA41,AA41,AA40*((0.0023*M25)+0.9644))</f>
        <v>#VALUE!</v>
      </c>
      <c r="AB42" s="27"/>
      <c r="AC42" s="27"/>
      <c r="AD42" s="27"/>
      <c r="AE42" s="27"/>
      <c r="AF42" s="27"/>
      <c r="AG42" s="27"/>
      <c r="AH42" s="27"/>
      <c r="AI42" s="27"/>
      <c r="AJ42" s="27"/>
      <c r="AK42" s="27"/>
      <c r="AL42" s="27"/>
    </row>
    <row r="43" spans="1:38" hidden="1">
      <c r="A43" s="27"/>
      <c r="B43" s="59">
        <v>6</v>
      </c>
      <c r="C43" s="60" t="s">
        <v>1</v>
      </c>
      <c r="D43" s="73" t="str">
        <f t="shared" si="11"/>
        <v/>
      </c>
      <c r="E43" s="62"/>
      <c r="F43" s="73" t="str">
        <f t="shared" si="12"/>
        <v/>
      </c>
      <c r="G43" s="63">
        <f>IFERROR(F43/D43,0)</f>
        <v>0</v>
      </c>
      <c r="H43" s="59"/>
      <c r="I43" s="59"/>
      <c r="J43" s="27"/>
      <c r="K43" s="27"/>
      <c r="L43" s="27"/>
      <c r="M43" s="27"/>
      <c r="N43" s="27"/>
      <c r="O43" s="27"/>
      <c r="P43" s="70"/>
      <c r="Q43" s="27"/>
      <c r="R43" s="70"/>
      <c r="S43" s="27"/>
      <c r="T43" s="27"/>
      <c r="U43" s="27"/>
      <c r="V43" s="27"/>
      <c r="W43" s="70"/>
      <c r="X43" s="49"/>
      <c r="Y43" s="27"/>
      <c r="Z43" s="27"/>
      <c r="AA43" s="27"/>
      <c r="AB43" s="27"/>
      <c r="AC43" s="27"/>
      <c r="AD43" s="27"/>
      <c r="AE43" s="27"/>
      <c r="AF43" s="27"/>
      <c r="AG43" s="27"/>
      <c r="AH43" s="27"/>
      <c r="AI43" s="27"/>
      <c r="AJ43" s="27"/>
      <c r="AK43" s="27"/>
      <c r="AL43" s="27"/>
    </row>
    <row r="44" spans="1:38" hidden="1">
      <c r="A44" s="27"/>
      <c r="B44" s="59">
        <v>7</v>
      </c>
      <c r="C44" s="60" t="s">
        <v>1</v>
      </c>
      <c r="D44" s="73" t="str">
        <f t="shared" si="11"/>
        <v/>
      </c>
      <c r="E44" s="62"/>
      <c r="F44" s="73" t="str">
        <f t="shared" si="12"/>
        <v/>
      </c>
      <c r="G44" s="63">
        <f>IFERROR(F44/D44,0)</f>
        <v>0</v>
      </c>
      <c r="H44" s="59"/>
      <c r="I44" s="59"/>
      <c r="J44" s="27"/>
      <c r="K44" s="27"/>
      <c r="L44" s="27"/>
      <c r="M44" s="27"/>
      <c r="N44" s="27"/>
      <c r="O44" s="27"/>
      <c r="P44" s="70"/>
      <c r="Q44" s="27"/>
      <c r="R44" s="70"/>
      <c r="S44" s="27"/>
      <c r="T44" s="27"/>
      <c r="U44" s="27"/>
      <c r="V44" s="27"/>
      <c r="W44" s="70"/>
      <c r="X44" s="49"/>
      <c r="Y44" s="27"/>
      <c r="Z44" s="27"/>
      <c r="AA44" s="27"/>
      <c r="AB44" s="27"/>
      <c r="AC44" s="27"/>
      <c r="AD44" s="27"/>
      <c r="AE44" s="27"/>
      <c r="AF44" s="27"/>
      <c r="AG44" s="27"/>
      <c r="AH44" s="27"/>
      <c r="AI44" s="27"/>
      <c r="AJ44" s="27"/>
      <c r="AK44" s="27"/>
      <c r="AL44" s="27"/>
    </row>
    <row r="45" spans="1:38" hidden="1">
      <c r="A45" s="27"/>
      <c r="B45" s="68"/>
      <c r="C45" s="60"/>
      <c r="D45" s="73"/>
      <c r="E45" s="62"/>
      <c r="F45" s="73"/>
      <c r="G45" s="63"/>
      <c r="H45" s="59"/>
      <c r="I45" s="59"/>
      <c r="J45" s="27"/>
      <c r="K45" s="27"/>
      <c r="L45" s="27"/>
      <c r="M45" s="27"/>
      <c r="N45" s="27"/>
      <c r="O45" s="27"/>
      <c r="P45" s="70"/>
      <c r="Q45" s="27"/>
      <c r="R45" s="70"/>
      <c r="S45" s="27"/>
      <c r="T45" s="27"/>
      <c r="U45" s="27"/>
      <c r="V45" s="27"/>
      <c r="W45" s="70"/>
      <c r="X45" s="49"/>
      <c r="Y45" s="27"/>
      <c r="Z45" s="27"/>
      <c r="AA45" s="27"/>
      <c r="AB45" s="27"/>
      <c r="AC45" s="27"/>
      <c r="AD45" s="27"/>
      <c r="AE45" s="27"/>
      <c r="AF45" s="27"/>
      <c r="AG45" s="27"/>
      <c r="AH45" s="27"/>
      <c r="AI45" s="27"/>
      <c r="AJ45" s="27"/>
      <c r="AK45" s="27"/>
      <c r="AL45" s="27"/>
    </row>
    <row r="46" spans="1:38" hidden="1">
      <c r="A46" s="27"/>
      <c r="B46" s="74"/>
      <c r="C46" s="74"/>
      <c r="D46" s="74"/>
      <c r="E46" s="74"/>
      <c r="F46" s="75"/>
      <c r="G46" s="76"/>
      <c r="H46" s="77"/>
      <c r="I46" s="78"/>
      <c r="J46" s="79"/>
      <c r="K46" s="80"/>
      <c r="L46" s="81"/>
      <c r="M46" s="82"/>
      <c r="N46" s="27"/>
      <c r="O46" s="81"/>
      <c r="P46" s="70"/>
      <c r="Q46" s="83"/>
      <c r="R46" s="70"/>
      <c r="S46" s="27"/>
      <c r="T46" s="27"/>
      <c r="U46" s="27"/>
      <c r="V46" s="27"/>
      <c r="W46" s="70"/>
      <c r="X46" s="49"/>
      <c r="Y46" s="27"/>
      <c r="Z46" s="27" t="s">
        <v>73</v>
      </c>
      <c r="AA46" s="27" t="e">
        <f>AVERAGE(AA40,AA41)</f>
        <v>#VALUE!</v>
      </c>
      <c r="AB46" s="27"/>
      <c r="AC46" s="27"/>
      <c r="AD46" s="27"/>
      <c r="AE46" s="27"/>
      <c r="AF46" s="27"/>
      <c r="AG46" s="27"/>
      <c r="AH46" s="27"/>
      <c r="AI46" s="27"/>
      <c r="AJ46" s="27"/>
      <c r="AK46" s="27"/>
      <c r="AL46" s="27"/>
    </row>
    <row r="47" spans="1:38" hidden="1">
      <c r="A47" s="27"/>
      <c r="B47" s="74"/>
      <c r="C47" s="74"/>
      <c r="D47" s="74"/>
      <c r="E47" s="74"/>
      <c r="F47" s="84"/>
      <c r="G47" s="76"/>
      <c r="H47" s="77"/>
      <c r="I47" s="78"/>
      <c r="J47" s="79"/>
      <c r="K47" s="80"/>
      <c r="L47" s="81"/>
      <c r="M47" s="82"/>
      <c r="N47" s="27"/>
      <c r="O47" s="81"/>
      <c r="P47" s="70"/>
      <c r="Q47" s="83"/>
      <c r="R47" s="70"/>
      <c r="S47" s="27"/>
      <c r="T47" s="27"/>
      <c r="U47" s="27"/>
      <c r="V47" s="27"/>
      <c r="W47" s="70"/>
      <c r="X47" s="49"/>
      <c r="Y47" s="27"/>
      <c r="Z47" s="27" t="s">
        <v>74</v>
      </c>
      <c r="AA47" s="27" t="e">
        <f>AVERAGE(AA42,AA41)</f>
        <v>#VALUE!</v>
      </c>
      <c r="AB47" s="27"/>
      <c r="AC47" s="27"/>
      <c r="AD47" s="27"/>
      <c r="AE47" s="27"/>
      <c r="AF47" s="27"/>
      <c r="AG47" s="27"/>
      <c r="AH47" s="27"/>
      <c r="AI47" s="27"/>
      <c r="AJ47" s="27"/>
      <c r="AK47" s="27"/>
      <c r="AL47" s="27"/>
    </row>
    <row r="48" spans="1:38" hidden="1">
      <c r="A48" s="27"/>
      <c r="B48" s="85" t="s">
        <v>77</v>
      </c>
      <c r="C48" s="85"/>
      <c r="D48" s="85"/>
      <c r="E48" s="85"/>
      <c r="F48" s="120">
        <f>E12</f>
        <v>0.89812210831896933</v>
      </c>
      <c r="G48" s="121"/>
      <c r="H48" s="27"/>
      <c r="I48" s="122" t="e">
        <f>((((G31*N22)+(G32*N23)+(G33*N24)+(G34*N25)+(G35*N26)+(G36*N27)+(G37*N28))/N30)*$E$12)/2.204622</f>
        <v>#DIV/0!</v>
      </c>
      <c r="J48" s="123"/>
      <c r="K48" s="86"/>
      <c r="L48" s="81"/>
      <c r="M48" s="27"/>
      <c r="N48" s="27"/>
      <c r="O48" s="81"/>
      <c r="P48" s="27"/>
      <c r="Q48" s="27"/>
      <c r="R48" s="27"/>
      <c r="S48" s="27"/>
      <c r="T48" s="27"/>
      <c r="U48" s="27"/>
      <c r="V48" s="27"/>
      <c r="W48" s="27"/>
      <c r="X48" s="49"/>
      <c r="Y48" s="27"/>
      <c r="Z48" s="27"/>
      <c r="AA48" s="27"/>
      <c r="AB48" s="27"/>
      <c r="AC48" s="27"/>
      <c r="AD48" s="27"/>
      <c r="AE48" s="27"/>
      <c r="AF48" s="27"/>
      <c r="AG48" s="27"/>
      <c r="AH48" s="27"/>
      <c r="AI48" s="27"/>
      <c r="AJ48" s="27"/>
      <c r="AK48" s="27"/>
      <c r="AL48" s="27"/>
    </row>
    <row r="49" spans="1:38">
      <c r="A49" s="27"/>
      <c r="B49" s="85"/>
      <c r="C49" s="85"/>
      <c r="D49" s="85"/>
      <c r="E49" s="85"/>
      <c r="F49" s="87"/>
      <c r="G49" s="88"/>
      <c r="H49" s="27"/>
      <c r="I49" s="87"/>
      <c r="J49" s="88"/>
      <c r="K49" s="80"/>
      <c r="L49" s="81"/>
      <c r="M49" s="27"/>
      <c r="N49" s="27"/>
      <c r="O49" s="81"/>
      <c r="P49" s="27"/>
      <c r="Q49" s="27"/>
      <c r="R49" s="27"/>
      <c r="S49" s="27"/>
      <c r="T49" s="27"/>
      <c r="U49" s="27"/>
      <c r="V49" s="27"/>
      <c r="W49" s="27"/>
      <c r="X49" s="49"/>
      <c r="Y49" s="27"/>
      <c r="Z49" s="27" t="s">
        <v>82</v>
      </c>
      <c r="AA49" s="27"/>
      <c r="AB49" s="27"/>
      <c r="AC49" s="27"/>
      <c r="AD49" s="27"/>
      <c r="AE49" s="27"/>
      <c r="AF49" s="27"/>
      <c r="AG49" s="27"/>
      <c r="AH49" s="27"/>
      <c r="AI49" s="27"/>
      <c r="AJ49" s="27"/>
      <c r="AK49" s="27"/>
      <c r="AL49" s="27"/>
    </row>
    <row r="50" spans="1:38" ht="15" thickBot="1">
      <c r="A50" s="27"/>
      <c r="B50" s="28" t="s">
        <v>19</v>
      </c>
      <c r="C50" s="28"/>
      <c r="D50" s="28"/>
      <c r="E50" s="28"/>
      <c r="F50" s="124"/>
      <c r="G50" s="125"/>
      <c r="H50" s="29"/>
      <c r="I50" s="126"/>
      <c r="J50" s="127"/>
      <c r="K50" s="89"/>
      <c r="L50" s="81"/>
      <c r="M50" s="27"/>
      <c r="N50" s="27"/>
      <c r="O50" s="81"/>
      <c r="P50" s="27"/>
      <c r="Q50" s="27"/>
      <c r="R50" s="27"/>
      <c r="S50" s="27"/>
      <c r="T50" s="27"/>
      <c r="U50" s="27"/>
      <c r="V50" s="27"/>
      <c r="W50" s="27"/>
      <c r="X50" s="27"/>
      <c r="Y50" s="27"/>
      <c r="Z50" s="27" t="s">
        <v>56</v>
      </c>
      <c r="AA50" s="27" t="e">
        <f>((0.000042*X26^2)-(0.02372*X26)+6.1452)</f>
        <v>#VALUE!</v>
      </c>
      <c r="AB50" s="27"/>
      <c r="AC50" s="27"/>
      <c r="AD50" s="27"/>
      <c r="AE50" s="27"/>
      <c r="AF50" s="27"/>
      <c r="AG50" s="27"/>
      <c r="AH50" s="27"/>
      <c r="AI50" s="27"/>
      <c r="AJ50" s="27"/>
      <c r="AK50" s="27"/>
      <c r="AL50" s="27"/>
    </row>
    <row r="51" spans="1:38">
      <c r="A51" s="27"/>
      <c r="B51" s="90" t="s">
        <v>3</v>
      </c>
      <c r="C51" s="90"/>
      <c r="D51" s="90"/>
      <c r="E51" s="90"/>
      <c r="F51" s="128" t="str">
        <f>IF(G22&gt;0,100%," ")</f>
        <v xml:space="preserve"> </v>
      </c>
      <c r="G51" s="129"/>
      <c r="H51" s="91"/>
      <c r="I51" s="128" t="str">
        <f>IF(G22&gt;0,(I48/MAX($F$48:$J$48))," ")</f>
        <v xml:space="preserve"> </v>
      </c>
      <c r="J51" s="129"/>
      <c r="K51" s="92"/>
      <c r="L51" s="93"/>
      <c r="M51" s="54"/>
      <c r="N51" s="54"/>
      <c r="O51" s="93"/>
      <c r="P51" s="54"/>
      <c r="Q51" s="54"/>
      <c r="R51" s="54"/>
      <c r="S51" s="54"/>
      <c r="T51" s="54"/>
      <c r="U51" s="54"/>
      <c r="V51" s="54"/>
      <c r="W51" s="27"/>
      <c r="X51" s="27"/>
      <c r="Y51" s="27"/>
      <c r="Z51" s="27" t="s">
        <v>55</v>
      </c>
      <c r="AA51" s="27" t="e">
        <f>((0.000056*X26^2)-(0.02844*X26)+6.6391)</f>
        <v>#VALUE!</v>
      </c>
      <c r="AB51" s="27"/>
      <c r="AC51" s="27"/>
      <c r="AD51" s="27"/>
      <c r="AE51" s="27"/>
      <c r="AF51" s="27"/>
      <c r="AG51" s="27"/>
      <c r="AH51" s="27"/>
      <c r="AI51" s="27"/>
      <c r="AJ51" s="27"/>
      <c r="AK51" s="27"/>
      <c r="AL51" s="27"/>
    </row>
    <row r="52" spans="1:38" hidden="1">
      <c r="A52" s="27"/>
      <c r="B52" s="90" t="s">
        <v>12</v>
      </c>
      <c r="C52" s="90"/>
      <c r="D52" s="90"/>
      <c r="E52" s="90"/>
      <c r="F52" s="130" t="e">
        <f>E13*F54</f>
        <v>#VALUE!</v>
      </c>
      <c r="G52" s="131"/>
      <c r="H52" s="91"/>
      <c r="I52" s="132" t="s">
        <v>14</v>
      </c>
      <c r="J52" s="133"/>
      <c r="K52" s="92"/>
      <c r="L52" s="93"/>
      <c r="M52" s="54"/>
      <c r="N52" s="54"/>
      <c r="O52" s="93"/>
      <c r="P52" s="54"/>
      <c r="Q52" s="54"/>
      <c r="R52" s="54"/>
      <c r="S52" s="54"/>
      <c r="T52" s="54"/>
      <c r="U52" s="54"/>
      <c r="V52" s="54"/>
      <c r="W52" s="27"/>
      <c r="X52" s="27"/>
      <c r="Y52" s="27"/>
      <c r="Z52" s="27" t="s">
        <v>72</v>
      </c>
      <c r="AA52" s="27" t="e">
        <f>IF(AA50*((0.0023*M26)+0.9644)&lt;AA51,AA51,AA50*((0.0023*M26)+0.9644))</f>
        <v>#VALUE!</v>
      </c>
      <c r="AB52" s="27"/>
      <c r="AC52" s="27"/>
      <c r="AD52" s="27"/>
      <c r="AE52" s="27"/>
      <c r="AF52" s="27"/>
      <c r="AG52" s="27"/>
      <c r="AH52" s="27"/>
      <c r="AI52" s="27"/>
      <c r="AJ52" s="27"/>
      <c r="AK52" s="27"/>
      <c r="AL52" s="27"/>
    </row>
    <row r="53" spans="1:38" hidden="1">
      <c r="A53" s="27"/>
      <c r="B53" s="90" t="s">
        <v>13</v>
      </c>
      <c r="C53" s="90"/>
      <c r="D53" s="90"/>
      <c r="E53" s="90"/>
      <c r="F53" s="130">
        <f>E13</f>
        <v>2.6</v>
      </c>
      <c r="G53" s="131"/>
      <c r="H53" s="91"/>
      <c r="I53" s="134" t="e">
        <f>$E$13/(((G38*N22)+(G39*N23)+(G40*N24)+(G41*N25)+(G42*N26)+(G43*N27)+(G44*N28))/N30)*2.204622</f>
        <v>#DIV/0!</v>
      </c>
      <c r="J53" s="135"/>
      <c r="K53" s="92"/>
      <c r="L53" s="93"/>
      <c r="M53" s="54"/>
      <c r="N53" s="54"/>
      <c r="O53" s="93"/>
      <c r="P53" s="54"/>
      <c r="Q53" s="54"/>
      <c r="R53" s="54"/>
      <c r="S53" s="54"/>
      <c r="T53" s="54"/>
      <c r="U53" s="54"/>
      <c r="V53" s="54"/>
      <c r="W53" s="27"/>
      <c r="X53" s="27"/>
      <c r="Y53" s="27"/>
      <c r="Z53" s="27" t="s">
        <v>73</v>
      </c>
      <c r="AA53" s="27" t="e">
        <f>AVERAGE(AA50,AA51)</f>
        <v>#VALUE!</v>
      </c>
      <c r="AB53" s="27"/>
      <c r="AC53" s="27"/>
      <c r="AD53" s="27"/>
      <c r="AE53" s="27"/>
      <c r="AF53" s="27"/>
      <c r="AG53" s="27"/>
      <c r="AH53" s="27"/>
      <c r="AI53" s="27"/>
      <c r="AJ53" s="27"/>
      <c r="AK53" s="27"/>
      <c r="AL53" s="27"/>
    </row>
    <row r="54" spans="1:38">
      <c r="A54" s="27"/>
      <c r="B54" s="90" t="s">
        <v>15</v>
      </c>
      <c r="C54" s="90"/>
      <c r="D54" s="90"/>
      <c r="E54" s="90"/>
      <c r="F54" s="128" t="str">
        <f>IF(G22&gt;0,98.7%," ")</f>
        <v xml:space="preserve"> </v>
      </c>
      <c r="G54" s="129"/>
      <c r="H54" s="91"/>
      <c r="I54" s="128" t="str">
        <f>IF(G22&gt;0,(MIN($F$52:$J$52)/I53)," ")</f>
        <v xml:space="preserve"> </v>
      </c>
      <c r="J54" s="129"/>
      <c r="K54" s="92"/>
      <c r="L54" s="93"/>
      <c r="M54" s="54"/>
      <c r="N54" s="54"/>
      <c r="O54" s="93"/>
      <c r="P54" s="54"/>
      <c r="Q54" s="54"/>
      <c r="R54" s="54"/>
      <c r="S54" s="54"/>
      <c r="T54" s="54"/>
      <c r="U54" s="54"/>
      <c r="V54" s="54"/>
      <c r="W54" s="27"/>
      <c r="X54" s="27"/>
      <c r="Y54" s="27"/>
      <c r="Z54" s="27" t="s">
        <v>74</v>
      </c>
      <c r="AA54" s="27" t="e">
        <f>AVERAGE(AA52,AA51)</f>
        <v>#VALUE!</v>
      </c>
      <c r="AB54" s="27"/>
      <c r="AC54" s="27"/>
      <c r="AD54" s="27"/>
      <c r="AE54" s="27"/>
      <c r="AF54" s="27"/>
      <c r="AG54" s="27"/>
      <c r="AH54" s="27"/>
      <c r="AI54" s="27"/>
      <c r="AJ54" s="27"/>
      <c r="AK54" s="27"/>
      <c r="AL54" s="27"/>
    </row>
    <row r="55" spans="1:38" hidden="1">
      <c r="A55" s="27"/>
      <c r="B55" s="94" t="s">
        <v>76</v>
      </c>
      <c r="C55" s="94"/>
      <c r="D55" s="94"/>
      <c r="E55" s="94"/>
      <c r="F55" s="136" t="e">
        <f>S31</f>
        <v>#DIV/0!</v>
      </c>
      <c r="G55" s="137"/>
      <c r="H55" s="91"/>
      <c r="I55" s="136" t="e">
        <f>T31</f>
        <v>#DIV/0!</v>
      </c>
      <c r="J55" s="137"/>
      <c r="K55" s="54"/>
      <c r="L55" s="93"/>
      <c r="M55" s="54"/>
      <c r="N55" s="54"/>
      <c r="O55" s="93"/>
      <c r="P55" s="54"/>
      <c r="Q55" s="54"/>
      <c r="R55" s="54"/>
      <c r="S55" s="54"/>
      <c r="T55" s="54"/>
      <c r="U55" s="54"/>
      <c r="V55" s="54"/>
      <c r="W55" s="27"/>
      <c r="X55" s="27"/>
      <c r="Y55" s="27"/>
      <c r="Z55" s="27"/>
      <c r="AA55" s="27"/>
      <c r="AB55" s="27"/>
      <c r="AC55" s="27"/>
      <c r="AD55" s="27"/>
      <c r="AE55" s="27"/>
      <c r="AF55" s="27"/>
      <c r="AG55" s="27"/>
      <c r="AH55" s="27"/>
      <c r="AI55" s="27"/>
      <c r="AJ55" s="27"/>
      <c r="AK55" s="27"/>
      <c r="AL55" s="27"/>
    </row>
    <row r="56" spans="1:38" hidden="1">
      <c r="A56" s="27"/>
      <c r="B56" s="95" t="s">
        <v>2</v>
      </c>
      <c r="C56" s="95"/>
      <c r="D56" s="95"/>
      <c r="E56" s="95"/>
      <c r="F56" s="138" t="e">
        <f>(F48*115*$M$14)-(F55*F48*115)</f>
        <v>#DIV/0!</v>
      </c>
      <c r="G56" s="139"/>
      <c r="H56" s="91"/>
      <c r="I56" s="138" t="e">
        <f>(I48*115*$M$14)-(I55*I48*115)</f>
        <v>#DIV/0!</v>
      </c>
      <c r="J56" s="139"/>
      <c r="K56" s="96" t="e">
        <f>F56-I56</f>
        <v>#DIV/0!</v>
      </c>
      <c r="L56" s="93"/>
      <c r="M56" s="54"/>
      <c r="N56" s="54"/>
      <c r="O56" s="93"/>
      <c r="P56" s="54"/>
      <c r="Q56" s="54"/>
      <c r="R56" s="54"/>
      <c r="S56" s="54"/>
      <c r="T56" s="54"/>
      <c r="U56" s="54"/>
      <c r="V56" s="54"/>
      <c r="W56" s="27"/>
      <c r="X56" s="27"/>
      <c r="Y56" s="27"/>
      <c r="Z56" s="27" t="s">
        <v>85</v>
      </c>
      <c r="AA56" s="27"/>
      <c r="AB56" s="27"/>
      <c r="AC56" s="27"/>
      <c r="AD56" s="27"/>
      <c r="AE56" s="27"/>
      <c r="AF56" s="27"/>
      <c r="AG56" s="27"/>
      <c r="AH56" s="27"/>
      <c r="AI56" s="27"/>
      <c r="AJ56" s="27"/>
      <c r="AK56" s="27"/>
      <c r="AL56" s="27"/>
    </row>
    <row r="57" spans="1:38" hidden="1">
      <c r="A57" s="27"/>
      <c r="B57" s="90" t="s">
        <v>5</v>
      </c>
      <c r="C57" s="90"/>
      <c r="D57" s="90"/>
      <c r="E57" s="90"/>
      <c r="F57" s="138" t="e">
        <f>(104*$M$14)-($F$55*104)-(104/$F$48*$E$17)</f>
        <v>#DIV/0!</v>
      </c>
      <c r="G57" s="139"/>
      <c r="H57" s="91"/>
      <c r="I57" s="138" t="e">
        <f>(104*$M$14)-(I55*104)-(104/I48*$E$17)</f>
        <v>#DIV/0!</v>
      </c>
      <c r="J57" s="139"/>
      <c r="K57" s="96" t="e">
        <f>F57-I57</f>
        <v>#DIV/0!</v>
      </c>
      <c r="L57" s="93"/>
      <c r="M57" s="54"/>
      <c r="N57" s="54"/>
      <c r="O57" s="93"/>
      <c r="P57" s="54"/>
      <c r="Q57" s="54"/>
      <c r="R57" s="54"/>
      <c r="S57" s="54"/>
      <c r="T57" s="54"/>
      <c r="U57" s="54"/>
      <c r="V57" s="54"/>
      <c r="W57" s="27"/>
      <c r="X57" s="27"/>
      <c r="Y57" s="27"/>
      <c r="Z57" s="27" t="s">
        <v>56</v>
      </c>
      <c r="AA57" s="27" t="e">
        <f>((0.000042*X27^2)-(0.02372*X27)+6.1452)</f>
        <v>#VALUE!</v>
      </c>
      <c r="AB57" s="27"/>
      <c r="AC57" s="27"/>
      <c r="AD57" s="27"/>
      <c r="AE57" s="27"/>
      <c r="AF57" s="27"/>
      <c r="AG57" s="27"/>
      <c r="AH57" s="27"/>
      <c r="AI57" s="27"/>
      <c r="AJ57" s="27"/>
      <c r="AK57" s="27"/>
      <c r="AL57" s="27"/>
    </row>
    <row r="58" spans="1:38" hidden="1">
      <c r="A58" s="27"/>
      <c r="B58" s="97" t="s">
        <v>10</v>
      </c>
      <c r="C58" s="97"/>
      <c r="D58" s="97"/>
      <c r="E58" s="97"/>
      <c r="F58" s="141" t="e">
        <f>(((($M$14)-((1/((F48*115)+23))*((F55*115*F48)+$E$18+$E$16)))))*1000/(1000/(F48*115))</f>
        <v>#DIV/0!</v>
      </c>
      <c r="G58" s="142"/>
      <c r="H58" s="91"/>
      <c r="I58" s="141" t="e">
        <f>(((($M$14)-((1/((I48*115)+23))*((I55*115*I48)+$E$18+$E$16)))))*1000/(1000/(I48*115))</f>
        <v>#DIV/0!</v>
      </c>
      <c r="J58" s="142"/>
      <c r="K58" s="96" t="e">
        <f>F58-I58</f>
        <v>#DIV/0!</v>
      </c>
      <c r="L58" s="98"/>
      <c r="M58" s="98"/>
      <c r="N58" s="98"/>
      <c r="O58" s="98"/>
      <c r="P58" s="98"/>
      <c r="Q58" s="54"/>
      <c r="R58" s="54"/>
      <c r="S58" s="54"/>
      <c r="T58" s="54"/>
      <c r="U58" s="54"/>
      <c r="V58" s="54"/>
      <c r="W58" s="27"/>
      <c r="X58" s="27"/>
      <c r="Y58" s="27"/>
      <c r="Z58" s="27" t="s">
        <v>55</v>
      </c>
      <c r="AA58" s="27" t="e">
        <f>((0.000056*X27^2)-(0.02844*X27)+6.6391)</f>
        <v>#VALUE!</v>
      </c>
      <c r="AB58" s="27"/>
      <c r="AC58" s="27"/>
      <c r="AD58" s="27"/>
      <c r="AE58" s="27"/>
      <c r="AF58" s="27"/>
      <c r="AG58" s="27"/>
      <c r="AH58" s="27"/>
      <c r="AI58" s="27"/>
      <c r="AJ58" s="27"/>
      <c r="AK58" s="27"/>
      <c r="AL58" s="27"/>
    </row>
    <row r="59" spans="1:38" hidden="1">
      <c r="A59" s="27"/>
      <c r="B59" s="97" t="s">
        <v>11</v>
      </c>
      <c r="C59" s="97"/>
      <c r="D59" s="97"/>
      <c r="E59" s="97"/>
      <c r="F59" s="141" t="e">
        <f>(((($M$14)-((1/(F48*(104/F48)))*((F55*(104/F48)*F48)+$E$18+$E$16+(104/F48*$E$17))))*1000/(1000/104)))</f>
        <v>#DIV/0!</v>
      </c>
      <c r="G59" s="142"/>
      <c r="H59" s="91"/>
      <c r="I59" s="141" t="e">
        <f>(((($M$14)-((1/(I48*(104/I48)))*((I55*(104/I48)*I48)+$E$18+$E$16+(104/I48*$E$17))))*1000/(1000/104)))</f>
        <v>#DIV/0!</v>
      </c>
      <c r="J59" s="142"/>
      <c r="K59" s="96" t="e">
        <f>F59-I59</f>
        <v>#DIV/0!</v>
      </c>
      <c r="L59" s="98"/>
      <c r="M59" s="98"/>
      <c r="N59" s="98"/>
      <c r="O59" s="98"/>
      <c r="P59" s="98"/>
      <c r="Q59" s="54"/>
      <c r="R59" s="54"/>
      <c r="S59" s="54"/>
      <c r="T59" s="54"/>
      <c r="U59" s="54"/>
      <c r="V59" s="54"/>
      <c r="W59" s="27"/>
      <c r="X59" s="27"/>
      <c r="Y59" s="27"/>
      <c r="Z59" s="27" t="s">
        <v>72</v>
      </c>
      <c r="AA59" s="27" t="e">
        <f>IF(AA57*((0.0023*M27)+0.9644)&lt;AA58,AA58,AA57*((0.0023*M27)+0.9644))</f>
        <v>#VALUE!</v>
      </c>
      <c r="AB59" s="27"/>
      <c r="AC59" s="27"/>
      <c r="AD59" s="27"/>
      <c r="AE59" s="27"/>
      <c r="AF59" s="27"/>
      <c r="AG59" s="27"/>
      <c r="AH59" s="27"/>
      <c r="AI59" s="27"/>
      <c r="AJ59" s="27"/>
      <c r="AK59" s="27"/>
      <c r="AL59" s="27"/>
    </row>
    <row r="60" spans="1:38">
      <c r="A60" s="27"/>
      <c r="B60" s="90"/>
      <c r="C60" s="90"/>
      <c r="D60" s="90"/>
      <c r="E60" s="90"/>
      <c r="F60" s="99"/>
      <c r="G60" s="100"/>
      <c r="H60" s="91"/>
      <c r="I60" s="143"/>
      <c r="J60" s="144"/>
      <c r="K60" s="54"/>
      <c r="L60" s="93"/>
      <c r="M60" s="54"/>
      <c r="N60" s="54"/>
      <c r="O60" s="93"/>
      <c r="P60" s="54"/>
      <c r="Q60" s="54"/>
      <c r="R60" s="54"/>
      <c r="S60" s="54"/>
      <c r="T60" s="54"/>
      <c r="U60" s="54"/>
      <c r="V60" s="54"/>
      <c r="W60" s="27"/>
      <c r="X60" s="27"/>
      <c r="Y60" s="27"/>
      <c r="Z60" s="27" t="s">
        <v>73</v>
      </c>
      <c r="AA60" s="27" t="e">
        <f>AVERAGE(AA57,AA58)</f>
        <v>#VALUE!</v>
      </c>
      <c r="AB60" s="27"/>
      <c r="AC60" s="27"/>
      <c r="AD60" s="27"/>
      <c r="AE60" s="27"/>
      <c r="AF60" s="27"/>
      <c r="AG60" s="27"/>
      <c r="AH60" s="27"/>
      <c r="AI60" s="27"/>
      <c r="AJ60" s="27"/>
      <c r="AK60" s="27"/>
      <c r="AL60" s="27"/>
    </row>
    <row r="61" spans="1:38">
      <c r="A61" s="27"/>
      <c r="B61" s="91" t="s">
        <v>70</v>
      </c>
      <c r="C61" s="91"/>
      <c r="D61" s="91"/>
      <c r="E61" s="91"/>
      <c r="F61" s="101"/>
      <c r="G61" s="102"/>
      <c r="H61" s="103"/>
      <c r="I61" s="104"/>
      <c r="J61" s="102"/>
      <c r="K61" s="54"/>
      <c r="L61" s="54"/>
      <c r="M61" s="54"/>
      <c r="N61" s="54"/>
      <c r="O61" s="54"/>
      <c r="P61" s="54"/>
      <c r="Q61" s="54"/>
      <c r="R61" s="54"/>
      <c r="S61" s="54"/>
      <c r="T61" s="54"/>
      <c r="U61" s="54"/>
      <c r="V61" s="54"/>
      <c r="W61" s="54"/>
      <c r="X61" s="54"/>
      <c r="Y61" s="54"/>
      <c r="Z61" s="27" t="s">
        <v>74</v>
      </c>
      <c r="AA61" s="27" t="e">
        <f>AVERAGE(AA59,AA58)</f>
        <v>#VALUE!</v>
      </c>
      <c r="AB61" s="54"/>
      <c r="AC61" s="54"/>
      <c r="AD61" s="27"/>
      <c r="AE61" s="27"/>
      <c r="AF61" s="27"/>
      <c r="AG61" s="27"/>
      <c r="AH61" s="27"/>
      <c r="AI61" s="27"/>
      <c r="AJ61" s="27"/>
      <c r="AK61" s="27"/>
      <c r="AL61" s="27"/>
    </row>
    <row r="62" spans="1:38">
      <c r="A62" s="27"/>
      <c r="B62" s="91" t="s">
        <v>20</v>
      </c>
      <c r="C62" s="91"/>
      <c r="D62" s="91"/>
      <c r="E62" s="91"/>
      <c r="F62" s="145" t="str">
        <f>IF(G22&gt;0,(F58-I58)," ")</f>
        <v xml:space="preserve"> </v>
      </c>
      <c r="G62" s="146"/>
      <c r="H62" s="105"/>
      <c r="I62" s="145" t="str">
        <f>IF(G22&gt;0,(I58-F58)," ")</f>
        <v xml:space="preserve"> </v>
      </c>
      <c r="J62" s="146"/>
      <c r="K62" s="54"/>
      <c r="L62" s="106"/>
      <c r="M62" s="54"/>
      <c r="N62" s="54"/>
      <c r="O62" s="54"/>
      <c r="P62" s="54"/>
      <c r="Q62" s="54"/>
      <c r="R62" s="54"/>
      <c r="S62" s="54"/>
      <c r="T62" s="54"/>
      <c r="U62" s="54"/>
      <c r="V62" s="54"/>
      <c r="W62" s="54"/>
      <c r="X62" s="54"/>
      <c r="Y62" s="54"/>
      <c r="Z62" s="54"/>
      <c r="AA62" s="54"/>
      <c r="AB62" s="54"/>
      <c r="AC62" s="54"/>
      <c r="AD62" s="27"/>
      <c r="AE62" s="27"/>
      <c r="AF62" s="27"/>
      <c r="AG62" s="27"/>
      <c r="AH62" s="27"/>
      <c r="AI62" s="27"/>
      <c r="AJ62" s="27"/>
      <c r="AK62" s="27"/>
      <c r="AL62" s="27"/>
    </row>
    <row r="63" spans="1:38" ht="15" thickBot="1">
      <c r="A63" s="27"/>
      <c r="B63" s="107" t="s">
        <v>21</v>
      </c>
      <c r="C63" s="108"/>
      <c r="D63" s="108"/>
      <c r="E63" s="108"/>
      <c r="F63" s="147" t="str">
        <f>IF(G22&gt;0,(F59-I59)," ")</f>
        <v xml:space="preserve"> </v>
      </c>
      <c r="G63" s="148"/>
      <c r="H63" s="109"/>
      <c r="I63" s="147" t="str">
        <f>IF(G22&gt;0,(I59-F59)," ")</f>
        <v xml:space="preserve"> </v>
      </c>
      <c r="J63" s="148"/>
      <c r="K63" s="110"/>
      <c r="L63" s="54"/>
      <c r="M63" s="54"/>
      <c r="N63" s="54"/>
      <c r="O63" s="54"/>
      <c r="P63" s="54"/>
      <c r="Q63" s="54"/>
      <c r="R63" s="54"/>
      <c r="S63" s="54"/>
      <c r="T63" s="54"/>
      <c r="U63" s="54"/>
      <c r="V63" s="54"/>
      <c r="W63" s="54"/>
      <c r="X63" s="54"/>
      <c r="Y63" s="54"/>
      <c r="Z63" s="27" t="s">
        <v>86</v>
      </c>
      <c r="AA63" s="27"/>
      <c r="AB63" s="54"/>
      <c r="AC63" s="54"/>
      <c r="AD63" s="27"/>
      <c r="AE63" s="27"/>
      <c r="AF63" s="27"/>
      <c r="AG63" s="27"/>
      <c r="AH63" s="27"/>
      <c r="AI63" s="54"/>
      <c r="AJ63" s="27"/>
      <c r="AK63" s="27"/>
      <c r="AL63" s="27"/>
    </row>
    <row r="64" spans="1:38">
      <c r="A64" s="27"/>
      <c r="B64" s="111"/>
      <c r="C64" s="111"/>
      <c r="D64" s="111"/>
      <c r="E64" s="111"/>
      <c r="F64" s="112"/>
      <c r="G64" s="113"/>
      <c r="H64" s="114"/>
      <c r="I64" s="113"/>
      <c r="J64" s="113"/>
      <c r="K64" s="54"/>
      <c r="L64" s="54"/>
      <c r="M64" s="54"/>
      <c r="N64" s="54"/>
      <c r="O64" s="54"/>
      <c r="P64" s="54"/>
      <c r="Q64" s="54"/>
      <c r="R64" s="54"/>
      <c r="S64" s="54"/>
      <c r="T64" s="54"/>
      <c r="U64" s="54"/>
      <c r="V64" s="54"/>
      <c r="W64" s="54"/>
      <c r="X64" s="54"/>
      <c r="Y64" s="54"/>
      <c r="Z64" s="27" t="s">
        <v>56</v>
      </c>
      <c r="AA64" s="27" t="e">
        <f>((0.000042*X28^2)-(0.02372*X28)+6.1452)</f>
        <v>#VALUE!</v>
      </c>
      <c r="AB64" s="54"/>
      <c r="AC64" s="54"/>
      <c r="AD64" s="27"/>
      <c r="AE64" s="27"/>
      <c r="AF64" s="27"/>
      <c r="AG64" s="27"/>
      <c r="AH64" s="27"/>
      <c r="AI64" s="27"/>
      <c r="AJ64" s="27"/>
      <c r="AK64" s="27"/>
      <c r="AL64" s="27"/>
    </row>
    <row r="65" spans="1:38">
      <c r="A65" s="27"/>
      <c r="B65" s="140" t="s">
        <v>94</v>
      </c>
      <c r="C65" s="140"/>
      <c r="D65" s="140"/>
      <c r="E65" s="140"/>
      <c r="F65" s="140"/>
      <c r="G65" s="140"/>
      <c r="H65" s="140"/>
      <c r="I65" s="140"/>
      <c r="J65" s="140"/>
      <c r="K65" s="27"/>
      <c r="L65" s="27"/>
      <c r="M65" s="27"/>
      <c r="N65" s="27"/>
      <c r="O65" s="27"/>
      <c r="P65" s="27"/>
      <c r="Q65" s="27"/>
      <c r="R65" s="27"/>
      <c r="S65" s="27"/>
      <c r="T65" s="54"/>
      <c r="U65" s="54"/>
      <c r="V65" s="54"/>
      <c r="W65" s="54"/>
      <c r="X65" s="54"/>
      <c r="Y65" s="54"/>
      <c r="Z65" s="27" t="s">
        <v>55</v>
      </c>
      <c r="AA65" s="27" t="e">
        <f>((0.000056*X28^2)-(0.02844*X28)+6.6391)</f>
        <v>#VALUE!</v>
      </c>
      <c r="AB65" s="54"/>
      <c r="AC65" s="54"/>
      <c r="AD65" s="27"/>
      <c r="AE65" s="27"/>
      <c r="AF65" s="27"/>
      <c r="AG65" s="27"/>
      <c r="AH65" s="27"/>
      <c r="AI65" s="27"/>
      <c r="AJ65" s="27"/>
      <c r="AK65" s="27"/>
      <c r="AL65" s="27"/>
    </row>
    <row r="66" spans="1:38">
      <c r="A66" s="27"/>
      <c r="B66" s="140"/>
      <c r="C66" s="140"/>
      <c r="D66" s="140"/>
      <c r="E66" s="140"/>
      <c r="F66" s="140"/>
      <c r="G66" s="140"/>
      <c r="H66" s="140"/>
      <c r="I66" s="140"/>
      <c r="J66" s="140"/>
      <c r="K66" s="27"/>
      <c r="L66" s="27"/>
      <c r="M66" s="27"/>
      <c r="N66" s="27"/>
      <c r="O66" s="27"/>
      <c r="P66" s="27"/>
      <c r="Q66" s="27"/>
      <c r="R66" s="27"/>
      <c r="S66" s="27"/>
      <c r="T66" s="27"/>
      <c r="U66" s="27"/>
      <c r="V66" s="27"/>
      <c r="W66" s="27"/>
      <c r="X66" s="27"/>
      <c r="Y66" s="27"/>
      <c r="Z66" s="27" t="s">
        <v>72</v>
      </c>
      <c r="AA66" s="27" t="e">
        <f>IF(AA64*((0.0023*M28)+0.9644)&lt;AA65,AA65,AA64*((0.0023*M28)+0.9644))</f>
        <v>#VALUE!</v>
      </c>
      <c r="AB66" s="27"/>
      <c r="AC66" s="27"/>
      <c r="AD66" s="27"/>
      <c r="AE66" s="27"/>
      <c r="AF66" s="27"/>
      <c r="AG66" s="27"/>
      <c r="AH66" s="27"/>
      <c r="AI66" s="27"/>
      <c r="AJ66" s="27"/>
      <c r="AK66" s="27"/>
      <c r="AL66" s="27"/>
    </row>
    <row r="67" spans="1:38">
      <c r="A67" s="27"/>
      <c r="B67" s="140"/>
      <c r="C67" s="140"/>
      <c r="D67" s="140"/>
      <c r="E67" s="140"/>
      <c r="F67" s="140"/>
      <c r="G67" s="140"/>
      <c r="H67" s="140"/>
      <c r="I67" s="140"/>
      <c r="J67" s="140"/>
      <c r="K67" s="27"/>
      <c r="L67" s="27"/>
      <c r="M67" s="27"/>
      <c r="N67" s="27"/>
      <c r="O67" s="27"/>
      <c r="P67" s="27"/>
      <c r="Q67" s="27"/>
      <c r="R67" s="27"/>
      <c r="S67" s="27"/>
      <c r="T67" s="27"/>
      <c r="U67" s="27"/>
      <c r="V67" s="27"/>
      <c r="W67" s="27"/>
      <c r="X67" s="27"/>
      <c r="Y67" s="27"/>
      <c r="Z67" s="27" t="s">
        <v>73</v>
      </c>
      <c r="AA67" s="27" t="e">
        <f>AVERAGE(AA64,AA65)</f>
        <v>#VALUE!</v>
      </c>
      <c r="AB67" s="27"/>
      <c r="AC67" s="27"/>
      <c r="AD67" s="27"/>
      <c r="AE67" s="27"/>
      <c r="AF67" s="27"/>
      <c r="AG67" s="27"/>
      <c r="AH67" s="27"/>
      <c r="AI67" s="27"/>
      <c r="AJ67" s="27"/>
      <c r="AK67" s="27"/>
      <c r="AL67" s="27"/>
    </row>
    <row r="68" spans="1:38" ht="30.6" customHeight="1">
      <c r="A68" s="27"/>
      <c r="B68" s="140"/>
      <c r="C68" s="140"/>
      <c r="D68" s="140"/>
      <c r="E68" s="140"/>
      <c r="F68" s="140"/>
      <c r="G68" s="140"/>
      <c r="H68" s="140"/>
      <c r="I68" s="140"/>
      <c r="J68" s="140"/>
      <c r="K68" s="27"/>
      <c r="L68" s="27"/>
      <c r="M68" s="27"/>
      <c r="N68" s="27"/>
      <c r="O68" s="27"/>
      <c r="P68" s="27"/>
      <c r="Q68" s="27"/>
      <c r="R68" s="27"/>
      <c r="S68" s="27"/>
      <c r="T68" s="27"/>
      <c r="U68" s="27"/>
      <c r="V68" s="27"/>
      <c r="W68" s="27"/>
      <c r="X68" s="27"/>
      <c r="Y68" s="27"/>
      <c r="Z68" s="27" t="s">
        <v>74</v>
      </c>
      <c r="AA68" s="27" t="e">
        <f>AVERAGE(AA66,AA65)</f>
        <v>#VALUE!</v>
      </c>
      <c r="AB68" s="27"/>
      <c r="AC68" s="27"/>
      <c r="AD68" s="27"/>
      <c r="AE68" s="27"/>
      <c r="AF68" s="27"/>
      <c r="AG68" s="27"/>
      <c r="AH68" s="27"/>
      <c r="AI68" s="27"/>
      <c r="AJ68" s="27"/>
      <c r="AK68" s="27"/>
      <c r="AL68" s="27"/>
    </row>
    <row r="69" spans="1:38">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1:38">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1:38">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5" spans="1:38">
      <c r="F75" s="1" t="s">
        <v>4</v>
      </c>
    </row>
  </sheetData>
  <sheetProtection algorithmName="SHA-512" hashValue="8LGfzIHpNa6A5bQZJJBqZpQpuRqjY+2JaGlz82G6MiE8qdc7Ee1m1bW0x2TMOIMrA8zfnwVkBqJhLcrmAJSyPA==" saltValue="aX8tSNOtNs0zmwvb9wzKJw==" spinCount="100000" sheet="1" objects="1" scenarios="1"/>
  <mergeCells count="30">
    <mergeCell ref="B65:J68"/>
    <mergeCell ref="F57:G57"/>
    <mergeCell ref="I57:J57"/>
    <mergeCell ref="F58:G58"/>
    <mergeCell ref="I58:J58"/>
    <mergeCell ref="F59:G59"/>
    <mergeCell ref="I59:J59"/>
    <mergeCell ref="I60:J60"/>
    <mergeCell ref="F62:G62"/>
    <mergeCell ref="I62:J62"/>
    <mergeCell ref="F63:G63"/>
    <mergeCell ref="I63:J63"/>
    <mergeCell ref="F54:G54"/>
    <mergeCell ref="I54:J54"/>
    <mergeCell ref="F55:G55"/>
    <mergeCell ref="I55:J55"/>
    <mergeCell ref="F56:G56"/>
    <mergeCell ref="I56:J56"/>
    <mergeCell ref="F51:G51"/>
    <mergeCell ref="I51:J51"/>
    <mergeCell ref="F52:G52"/>
    <mergeCell ref="I52:J52"/>
    <mergeCell ref="F53:G53"/>
    <mergeCell ref="I53:J53"/>
    <mergeCell ref="F20:G20"/>
    <mergeCell ref="I20:J20"/>
    <mergeCell ref="F48:G48"/>
    <mergeCell ref="I48:J48"/>
    <mergeCell ref="F50:G50"/>
    <mergeCell ref="I50:J50"/>
  </mergeCells>
  <dataValidations count="10">
    <dataValidation type="decimal" allowBlank="1" showInputMessage="1" showErrorMessage="1" errorTitle="Outside range" error="Please enter a weight between 50 to 330 lb" sqref="C22:D28" xr:uid="{5C5BD7A3-76AE-4AC0-8150-EDAF9880EEDF}">
      <formula1>50</formula1>
      <formula2>330</formula2>
    </dataValidation>
    <dataValidation type="decimal" errorStyle="warning" allowBlank="1" showInputMessage="1" showErrorMessage="1" error="Please double check your entry" sqref="M14" xr:uid="{D06E4CAF-B38A-4488-B004-ABFA8D2307DC}">
      <formula1>30</formula1>
      <formula2>150</formula2>
    </dataValidation>
    <dataValidation type="whole" operator="lessThanOrEqual" allowBlank="1" showInputMessage="1" showErrorMessage="1" errorTitle="Outside range" error="Please enter a weight until 130 kg" sqref="D29" xr:uid="{201FA48D-3424-4892-A4BB-9EC712E02969}">
      <formula1>130</formula1>
    </dataValidation>
    <dataValidation type="list" errorStyle="warning" allowBlank="1" showInputMessage="1" showErrorMessage="1" error="Please double check your entry" sqref="E14" xr:uid="{490C7FAC-C40B-42A2-B505-38D6CCA1490C}">
      <formula1>$Z$14:$Z$18</formula1>
    </dataValidation>
    <dataValidation type="decimal" errorStyle="warning" allowBlank="1" showInputMessage="1" showErrorMessage="1" error="Please double check your entry" sqref="I22:I29" xr:uid="{8B538A52-8B4A-46CC-A2FA-4D3E510F1F30}">
      <formula1>0.4</formula1>
      <formula2>1.6</formula2>
    </dataValidation>
    <dataValidation type="decimal" errorStyle="warning" allowBlank="1" showInputMessage="1" showErrorMessage="1" error="Please double check your entry" sqref="J29 G29" xr:uid="{CA3342DA-647B-42D1-AD1B-5B49204E73D9}">
      <formula1>30</formula1>
      <formula2>500</formula2>
    </dataValidation>
    <dataValidation type="decimal" errorStyle="warning" allowBlank="1" showInputMessage="1" showErrorMessage="1" error="Please double check your entry" sqref="E18" xr:uid="{E8C5757D-2773-4C65-9D18-D8001B50213D}">
      <formula1>0</formula1>
      <formula2>1000000</formula2>
    </dataValidation>
    <dataValidation type="decimal" errorStyle="warning" allowBlank="1" showInputMessage="1" showErrorMessage="1" error="Please double check your entry" sqref="E17" xr:uid="{4226733B-1956-4BC1-9E46-D6FEE088902F}">
      <formula1>0</formula1>
      <formula2>1000000</formula2>
    </dataValidation>
    <dataValidation type="decimal" errorStyle="warning" allowBlank="1" showInputMessage="1" showErrorMessage="1" error="Please double check your entry" sqref="E15" xr:uid="{82AFA4B8-BCB7-49F6-AD22-792E2B3B6177}">
      <formula1>0.1</formula1>
      <formula2>1000000</formula2>
    </dataValidation>
    <dataValidation type="decimal" errorStyle="warning" allowBlank="1" showInputMessage="1" showErrorMessage="1" error="Please double check your entry" sqref="G22:G28 J22:J28" xr:uid="{F8B04923-9570-4880-B2EA-8C84B4851E58}">
      <formula1>1</formula1>
      <formula2>1000000</formula2>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9247-C0DC-4A39-8C60-5691CBE3A61C}">
  <dimension ref="A1:AS76"/>
  <sheetViews>
    <sheetView showGridLines="0" showRowColHeaders="0" zoomScale="80" zoomScaleNormal="80" workbookViewId="0">
      <selection activeCell="B66" sqref="B66:J69"/>
    </sheetView>
  </sheetViews>
  <sheetFormatPr defaultColWidth="8.88671875" defaultRowHeight="14.4"/>
  <cols>
    <col min="1" max="1" width="8.88671875" style="1"/>
    <col min="2" max="2" width="9.33203125" style="1" customWidth="1"/>
    <col min="3" max="3" width="8.88671875" style="1" customWidth="1"/>
    <col min="4" max="4" width="8.6640625" style="1" customWidth="1"/>
    <col min="5" max="5" width="19.109375" style="1" customWidth="1"/>
    <col min="6" max="6" width="14.109375" style="1" customWidth="1"/>
    <col min="7" max="7" width="16.5546875" style="1" customWidth="1"/>
    <col min="8" max="9" width="11.33203125" style="1" customWidth="1"/>
    <col min="10" max="10" width="8.77734375" style="1" bestFit="1" customWidth="1"/>
    <col min="11" max="11" width="9.88671875" style="1" hidden="1" customWidth="1"/>
    <col min="12" max="12" width="8.88671875" style="1" hidden="1" customWidth="1"/>
    <col min="13" max="13" width="10.33203125" style="1" hidden="1" customWidth="1"/>
    <col min="14" max="14" width="8" style="1" hidden="1" customWidth="1"/>
    <col min="15" max="15" width="8.88671875" style="1" hidden="1" customWidth="1"/>
    <col min="16" max="16" width="12.6640625" style="1" hidden="1" customWidth="1"/>
    <col min="17" max="18" width="5.6640625" style="1" hidden="1" customWidth="1"/>
    <col min="19" max="19" width="10.6640625" style="1" hidden="1" customWidth="1"/>
    <col min="20" max="20" width="12" style="1" hidden="1" customWidth="1"/>
    <col min="21" max="23" width="8.88671875" style="1" hidden="1" customWidth="1"/>
    <col min="24" max="24" width="9.6640625" style="1" hidden="1" customWidth="1"/>
    <col min="25" max="25" width="8.88671875" style="1" hidden="1" customWidth="1"/>
    <col min="26" max="26" width="15.5546875" style="1" hidden="1" customWidth="1"/>
    <col min="27" max="27" width="12" style="1" hidden="1" customWidth="1"/>
    <col min="28" max="29" width="8.88671875" style="1" hidden="1" customWidth="1"/>
    <col min="30" max="35" width="8.88671875" style="1" customWidth="1"/>
    <col min="36" max="16384" width="8.88671875" style="1"/>
  </cols>
  <sheetData>
    <row r="1" spans="1:38">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38">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8">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8">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8">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8">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8" spans="1:38">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ht="15" thickBot="1">
      <c r="A10" s="27"/>
      <c r="B10" s="28" t="s">
        <v>18</v>
      </c>
      <c r="C10" s="28"/>
      <c r="D10" s="28"/>
      <c r="E10" s="28"/>
      <c r="F10" s="29"/>
      <c r="G10" s="29"/>
      <c r="H10" s="29"/>
      <c r="I10" s="29"/>
      <c r="J10" s="29"/>
      <c r="K10" s="27"/>
      <c r="L10" s="27"/>
      <c r="M10" s="27"/>
      <c r="N10" s="27"/>
      <c r="O10" s="27"/>
      <c r="P10" s="27"/>
      <c r="Q10" s="27"/>
      <c r="R10" s="27"/>
      <c r="S10" s="27"/>
      <c r="T10" s="27"/>
      <c r="U10" s="27"/>
      <c r="V10" s="27"/>
      <c r="W10" s="27"/>
      <c r="X10" s="27"/>
      <c r="Y10" s="27"/>
      <c r="Z10" s="27" t="s">
        <v>78</v>
      </c>
      <c r="AA10" s="27"/>
      <c r="AB10" s="27"/>
      <c r="AC10" s="27"/>
      <c r="AD10" s="27"/>
      <c r="AE10" s="27"/>
      <c r="AF10" s="27"/>
      <c r="AG10" s="27"/>
      <c r="AH10" s="27"/>
      <c r="AI10" s="27"/>
      <c r="AJ10" s="27"/>
      <c r="AK10" s="27"/>
      <c r="AL10" s="27"/>
    </row>
    <row r="11" spans="1:38">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hidden="1">
      <c r="A12" s="27"/>
      <c r="B12" s="27" t="s">
        <v>77</v>
      </c>
      <c r="C12" s="27"/>
      <c r="D12" s="27"/>
      <c r="E12" s="30">
        <f>1.98/2.2046</f>
        <v>0.89812210831896933</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hidden="1">
      <c r="A13" s="27"/>
      <c r="B13" s="27" t="s">
        <v>1</v>
      </c>
      <c r="C13" s="27"/>
      <c r="D13" s="27"/>
      <c r="E13" s="30">
        <v>2.6</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c r="A14" s="27"/>
      <c r="B14" s="27" t="s">
        <v>71</v>
      </c>
      <c r="C14" s="27"/>
      <c r="D14" s="27"/>
      <c r="E14" s="31" t="s">
        <v>73</v>
      </c>
      <c r="F14" s="27"/>
      <c r="G14" s="27"/>
      <c r="H14" s="27"/>
      <c r="I14" s="27"/>
      <c r="J14" s="27"/>
      <c r="K14" s="27"/>
      <c r="L14" s="27"/>
      <c r="M14" s="27"/>
      <c r="N14" s="27"/>
      <c r="O14" s="27"/>
      <c r="P14" s="27"/>
      <c r="Q14" s="27"/>
      <c r="R14" s="27"/>
      <c r="S14" s="27"/>
      <c r="T14" s="27"/>
      <c r="U14" s="27"/>
      <c r="V14" s="27"/>
      <c r="W14" s="27"/>
      <c r="X14" s="27"/>
      <c r="Y14" s="27"/>
      <c r="Z14" s="27" t="s">
        <v>56</v>
      </c>
      <c r="AA14" s="27" t="e">
        <f>((0.000031*X22^2)-(0.0176*X22)+4.5523)</f>
        <v>#VALUE!</v>
      </c>
      <c r="AB14" s="27"/>
      <c r="AC14" s="27"/>
      <c r="AD14" s="27"/>
      <c r="AE14" s="27"/>
      <c r="AF14" s="27"/>
      <c r="AG14" s="27"/>
      <c r="AH14" s="27"/>
      <c r="AI14" s="27"/>
      <c r="AJ14" s="27"/>
      <c r="AK14" s="27"/>
      <c r="AL14" s="27"/>
    </row>
    <row r="15" spans="1:38">
      <c r="A15" s="27"/>
      <c r="B15" s="27" t="s">
        <v>22</v>
      </c>
      <c r="C15" s="27"/>
      <c r="D15" s="27"/>
      <c r="E15" s="5">
        <v>1.0494000720000001</v>
      </c>
      <c r="F15" s="27"/>
      <c r="G15" s="27"/>
      <c r="H15" s="32"/>
      <c r="I15" s="27"/>
      <c r="J15" s="27"/>
      <c r="K15" s="27"/>
      <c r="L15" s="27"/>
      <c r="M15" s="27"/>
      <c r="N15" s="27"/>
      <c r="O15" s="27"/>
      <c r="P15" s="27"/>
      <c r="Q15" s="27"/>
      <c r="R15" s="27"/>
      <c r="S15" s="27"/>
      <c r="T15" s="27"/>
      <c r="U15" s="27"/>
      <c r="V15" s="27"/>
      <c r="W15" s="27"/>
      <c r="X15" s="27"/>
      <c r="Y15" s="27"/>
      <c r="Z15" s="27" t="s">
        <v>55</v>
      </c>
      <c r="AA15" s="27" t="e">
        <f>((0.000043*X22^2)-(0.02154*X22)+4.9538)</f>
        <v>#VALUE!</v>
      </c>
      <c r="AB15" s="27"/>
      <c r="AC15" s="27"/>
      <c r="AD15" s="27"/>
      <c r="AE15" s="27"/>
      <c r="AF15" s="27"/>
      <c r="AG15" s="27"/>
      <c r="AH15" s="27"/>
      <c r="AI15" s="27"/>
      <c r="AJ15" s="27"/>
      <c r="AK15" s="27"/>
      <c r="AL15" s="27"/>
    </row>
    <row r="16" spans="1:38">
      <c r="A16" s="27"/>
      <c r="B16" s="27" t="s">
        <v>8</v>
      </c>
      <c r="C16" s="27"/>
      <c r="D16" s="27"/>
      <c r="E16" s="5">
        <v>55</v>
      </c>
      <c r="F16" s="27"/>
      <c r="G16" s="27"/>
      <c r="H16" s="27"/>
      <c r="I16" s="27"/>
      <c r="J16" s="27"/>
      <c r="K16" s="27"/>
      <c r="L16" s="27"/>
      <c r="M16" s="27"/>
      <c r="N16" s="27"/>
      <c r="O16" s="33"/>
      <c r="P16" s="33"/>
      <c r="Q16" s="27"/>
      <c r="R16" s="27"/>
      <c r="S16" s="27"/>
      <c r="T16" s="27"/>
      <c r="U16" s="27"/>
      <c r="V16" s="27"/>
      <c r="W16" s="27"/>
      <c r="X16" s="27"/>
      <c r="Y16" s="27"/>
      <c r="Z16" s="27" t="s">
        <v>72</v>
      </c>
      <c r="AA16" s="27" t="e">
        <f>IF(AA14*((0.0023*M22)+0.9644)&lt;AA15,AA15,AA14*((0.0023*M22)+0.9644))</f>
        <v>#VALUE!</v>
      </c>
      <c r="AB16" s="27"/>
      <c r="AC16" s="27"/>
      <c r="AD16" s="27"/>
      <c r="AE16" s="27"/>
      <c r="AF16" s="27"/>
      <c r="AG16" s="27"/>
      <c r="AH16" s="27"/>
      <c r="AI16" s="27"/>
      <c r="AJ16" s="27"/>
      <c r="AK16" s="27"/>
      <c r="AL16" s="27"/>
    </row>
    <row r="17" spans="1:45">
      <c r="A17" s="27"/>
      <c r="B17" s="27" t="s">
        <v>17</v>
      </c>
      <c r="C17" s="27"/>
      <c r="D17" s="27"/>
      <c r="E17" s="5">
        <v>0.12</v>
      </c>
      <c r="F17" s="27"/>
      <c r="G17" s="27"/>
      <c r="H17" s="27"/>
      <c r="I17" s="27"/>
      <c r="J17" s="27"/>
      <c r="K17" s="27"/>
      <c r="L17" s="27"/>
      <c r="M17" s="27"/>
      <c r="N17" s="27"/>
      <c r="O17" s="33"/>
      <c r="P17" s="33"/>
      <c r="Q17" s="27"/>
      <c r="R17" s="27"/>
      <c r="S17" s="27"/>
      <c r="T17" s="27"/>
      <c r="U17" s="27"/>
      <c r="V17" s="27"/>
      <c r="W17" s="34"/>
      <c r="X17" s="27"/>
      <c r="Y17" s="27"/>
      <c r="Z17" s="27" t="s">
        <v>73</v>
      </c>
      <c r="AA17" s="27" t="e">
        <f>AVERAGE(AA14,AA15)</f>
        <v>#VALUE!</v>
      </c>
      <c r="AB17" s="27"/>
      <c r="AC17" s="27"/>
      <c r="AD17" s="27"/>
      <c r="AE17" s="27"/>
      <c r="AF17" s="27"/>
      <c r="AG17" s="27"/>
      <c r="AH17" s="27"/>
      <c r="AI17" s="27"/>
      <c r="AJ17" s="27"/>
      <c r="AK17" s="27"/>
      <c r="AL17" s="27"/>
    </row>
    <row r="18" spans="1:45">
      <c r="A18" s="27"/>
      <c r="B18" s="27" t="s">
        <v>9</v>
      </c>
      <c r="C18" s="27"/>
      <c r="D18" s="27"/>
      <c r="E18" s="5">
        <v>14</v>
      </c>
      <c r="F18" s="27"/>
      <c r="G18" s="27"/>
      <c r="H18" s="27"/>
      <c r="I18" s="27"/>
      <c r="J18" s="27"/>
      <c r="K18" s="27"/>
      <c r="L18" s="27"/>
      <c r="M18" s="27"/>
      <c r="N18" s="27"/>
      <c r="O18" s="33"/>
      <c r="P18" s="33"/>
      <c r="Q18" s="27"/>
      <c r="R18" s="27"/>
      <c r="S18" s="27"/>
      <c r="T18" s="35"/>
      <c r="U18" s="27"/>
      <c r="V18" s="35"/>
      <c r="W18" s="34"/>
      <c r="X18" s="27"/>
      <c r="Y18" s="27"/>
      <c r="Z18" s="27" t="s">
        <v>74</v>
      </c>
      <c r="AA18" s="27" t="e">
        <f>AVERAGE(AA16,AA15)</f>
        <v>#VALUE!</v>
      </c>
      <c r="AB18" s="27"/>
      <c r="AC18" s="27"/>
      <c r="AD18" s="27"/>
      <c r="AE18" s="27"/>
      <c r="AF18" s="27"/>
      <c r="AG18" s="27"/>
      <c r="AH18" s="27"/>
      <c r="AI18" s="27"/>
      <c r="AJ18" s="27"/>
      <c r="AK18" s="27"/>
      <c r="AL18" s="27"/>
    </row>
    <row r="19" spans="1:45">
      <c r="A19" s="27"/>
      <c r="B19" s="27"/>
      <c r="C19" s="27"/>
      <c r="D19" s="27"/>
      <c r="E19" s="27"/>
      <c r="F19" s="27"/>
      <c r="G19" s="27"/>
      <c r="H19" s="27"/>
      <c r="I19" s="27"/>
      <c r="J19" s="27"/>
      <c r="K19" s="36"/>
      <c r="L19" s="36"/>
      <c r="M19" s="36"/>
      <c r="N19" s="36"/>
      <c r="O19" s="36"/>
      <c r="P19" s="36"/>
      <c r="Q19" s="36"/>
      <c r="R19" s="36"/>
      <c r="S19" s="27"/>
      <c r="T19" s="35"/>
      <c r="U19" s="27"/>
      <c r="V19" s="35"/>
      <c r="W19" s="34"/>
      <c r="X19" s="27"/>
      <c r="Y19" s="27"/>
      <c r="Z19" s="27"/>
      <c r="AA19" s="27"/>
      <c r="AB19" s="27"/>
      <c r="AC19" s="27"/>
      <c r="AD19" s="27"/>
      <c r="AE19" s="27"/>
      <c r="AF19" s="27"/>
      <c r="AG19" s="27"/>
      <c r="AH19" s="27"/>
      <c r="AI19" s="27"/>
      <c r="AJ19" s="27"/>
      <c r="AK19" s="27"/>
      <c r="AL19" s="27"/>
    </row>
    <row r="20" spans="1:45" ht="15" thickBot="1">
      <c r="A20" s="27"/>
      <c r="B20" s="29"/>
      <c r="C20" s="29"/>
      <c r="D20" s="29"/>
      <c r="E20" s="29"/>
      <c r="F20" s="118" t="s">
        <v>83</v>
      </c>
      <c r="G20" s="118"/>
      <c r="H20" s="29"/>
      <c r="I20" s="119" t="s">
        <v>16</v>
      </c>
      <c r="J20" s="119"/>
      <c r="K20" s="36"/>
      <c r="L20" s="36"/>
      <c r="M20" s="36"/>
      <c r="N20" s="36"/>
      <c r="O20" s="36"/>
      <c r="P20" s="36"/>
      <c r="Q20" s="36"/>
      <c r="R20" s="36"/>
      <c r="S20" s="27"/>
      <c r="T20" s="35"/>
      <c r="U20" s="27"/>
      <c r="V20" s="35"/>
      <c r="W20" s="34"/>
      <c r="X20" s="27"/>
      <c r="Y20" s="27"/>
      <c r="Z20" s="27" t="s">
        <v>79</v>
      </c>
      <c r="AA20" s="27"/>
      <c r="AB20" s="27"/>
      <c r="AC20" s="27"/>
      <c r="AD20" s="27"/>
      <c r="AE20" s="27"/>
      <c r="AF20" s="27"/>
      <c r="AG20" s="27"/>
      <c r="AH20" s="27"/>
      <c r="AI20" s="27"/>
      <c r="AJ20" s="27"/>
      <c r="AK20" s="27"/>
      <c r="AL20" s="27"/>
    </row>
    <row r="21" spans="1:45">
      <c r="A21" s="27"/>
      <c r="B21" s="27"/>
      <c r="C21" s="37" t="s">
        <v>23</v>
      </c>
      <c r="D21" s="38"/>
      <c r="E21" s="38" t="s">
        <v>100</v>
      </c>
      <c r="F21" s="39" t="s">
        <v>6</v>
      </c>
      <c r="G21" s="40" t="s">
        <v>101</v>
      </c>
      <c r="H21" s="27"/>
      <c r="I21" s="41" t="s">
        <v>6</v>
      </c>
      <c r="J21" s="42" t="s">
        <v>101</v>
      </c>
      <c r="K21" s="33"/>
      <c r="L21" s="36"/>
      <c r="M21" s="36" t="s">
        <v>65</v>
      </c>
      <c r="N21" s="36" t="s">
        <v>64</v>
      </c>
      <c r="O21" s="36"/>
      <c r="P21" s="36"/>
      <c r="Q21" s="36" t="s">
        <v>66</v>
      </c>
      <c r="R21" s="36" t="s">
        <v>67</v>
      </c>
      <c r="S21" s="36" t="s">
        <v>68</v>
      </c>
      <c r="T21" s="35" t="s">
        <v>69</v>
      </c>
      <c r="U21" s="27"/>
      <c r="V21" s="35"/>
      <c r="W21" s="34"/>
      <c r="X21" s="27" t="s">
        <v>75</v>
      </c>
      <c r="Y21" s="27"/>
      <c r="Z21" s="27" t="s">
        <v>56</v>
      </c>
      <c r="AA21" s="27" t="e">
        <f>((0.000031*X23^2)-(0.0176*X23)+4.5523)</f>
        <v>#VALUE!</v>
      </c>
      <c r="AB21" s="27"/>
      <c r="AC21" s="27"/>
      <c r="AD21" s="27"/>
      <c r="AE21" s="27"/>
      <c r="AF21" s="27"/>
      <c r="AG21" s="27"/>
      <c r="AH21" s="27"/>
      <c r="AI21" s="27"/>
      <c r="AJ21" s="27"/>
      <c r="AK21" s="27"/>
      <c r="AL21" s="27"/>
    </row>
    <row r="22" spans="1:45">
      <c r="A22" s="27"/>
      <c r="B22" s="115"/>
      <c r="C22" s="155"/>
      <c r="D22" s="155"/>
      <c r="E22" s="156"/>
      <c r="F22" s="117" t="str">
        <f>IFERROR(VLOOKUP($E$14,$Z$14:$AA$18,2,FALSE)*E22/10000,"")</f>
        <v/>
      </c>
      <c r="G22" s="6"/>
      <c r="H22" s="27"/>
      <c r="I22" s="157"/>
      <c r="J22" s="6"/>
      <c r="K22" s="44" t="str">
        <f t="shared" ref="K22:K28" si="0">IFERROR(I22-F22,"")</f>
        <v/>
      </c>
      <c r="L22" s="45"/>
      <c r="M22" s="46" t="str">
        <f t="shared" ref="M22:M28" si="1">IFERROR(AVERAGE(C22:D22),"")</f>
        <v/>
      </c>
      <c r="N22" s="46">
        <f t="shared" ref="N22:N28" si="2">IF(D22-C22=0,0,D22-C22)</f>
        <v>0</v>
      </c>
      <c r="O22" s="45"/>
      <c r="P22" s="34" t="s">
        <v>87</v>
      </c>
      <c r="Q22" s="47" t="str">
        <f t="shared" ref="Q22:Q28" si="3">IFERROR(0.000001*$M22^3-0.0003*$M22^2+0.038*$M22+0.8558,"")</f>
        <v/>
      </c>
      <c r="R22" s="47" t="str">
        <f t="shared" ref="R22:R28" si="4">IFERROR(Q22/G38,"")</f>
        <v/>
      </c>
      <c r="S22" s="48" t="str">
        <f t="shared" ref="S22:S28" si="5">IFERROR(Q22*N22*G22/1000,"")</f>
        <v/>
      </c>
      <c r="T22" s="48" t="str">
        <f t="shared" ref="T22:T28" si="6">IFERROR(R22*N22*J22/1000,"")</f>
        <v/>
      </c>
      <c r="U22" s="27"/>
      <c r="V22" s="35"/>
      <c r="W22" s="34" t="s">
        <v>87</v>
      </c>
      <c r="X22" s="49" t="str">
        <f>IFERROR(M22*2.204622,"")</f>
        <v/>
      </c>
      <c r="Y22" s="27"/>
      <c r="Z22" s="27" t="s">
        <v>55</v>
      </c>
      <c r="AA22" s="27" t="e">
        <f>((0.000043*X23^2)-(0.02154*X23)+4.9538)</f>
        <v>#VALUE!</v>
      </c>
      <c r="AB22" s="27"/>
      <c r="AC22" s="27"/>
      <c r="AD22" s="27"/>
      <c r="AE22" s="27"/>
      <c r="AF22" s="27"/>
      <c r="AG22" s="27"/>
      <c r="AH22" s="27"/>
      <c r="AI22" s="27"/>
      <c r="AJ22" s="27"/>
      <c r="AK22" s="27"/>
      <c r="AL22" s="27"/>
    </row>
    <row r="23" spans="1:45">
      <c r="A23" s="27"/>
      <c r="B23" s="115"/>
      <c r="C23" s="155"/>
      <c r="D23" s="155"/>
      <c r="E23" s="156"/>
      <c r="F23" s="117" t="str">
        <f>IFERROR(VLOOKUP($E$14,$Z$21:$AA$25,2,FALSE)*E23/10000,"")</f>
        <v/>
      </c>
      <c r="G23" s="6"/>
      <c r="H23" s="27"/>
      <c r="I23" s="157"/>
      <c r="J23" s="6"/>
      <c r="K23" s="44" t="str">
        <f t="shared" si="0"/>
        <v/>
      </c>
      <c r="L23" s="45"/>
      <c r="M23" s="46" t="str">
        <f t="shared" si="1"/>
        <v/>
      </c>
      <c r="N23" s="46">
        <f t="shared" si="2"/>
        <v>0</v>
      </c>
      <c r="O23" s="45"/>
      <c r="P23" s="34" t="s">
        <v>88</v>
      </c>
      <c r="Q23" s="47" t="str">
        <f t="shared" si="3"/>
        <v/>
      </c>
      <c r="R23" s="47" t="str">
        <f t="shared" si="4"/>
        <v/>
      </c>
      <c r="S23" s="48" t="str">
        <f t="shared" si="5"/>
        <v/>
      </c>
      <c r="T23" s="48" t="str">
        <f t="shared" si="6"/>
        <v/>
      </c>
      <c r="U23" s="27"/>
      <c r="V23" s="27"/>
      <c r="W23" s="34" t="s">
        <v>88</v>
      </c>
      <c r="X23" s="49" t="str">
        <f>IFERROR(M23*2.204622,"")</f>
        <v/>
      </c>
      <c r="Y23" s="27"/>
      <c r="Z23" s="27" t="s">
        <v>72</v>
      </c>
      <c r="AA23" s="27" t="e">
        <f>IF(AA21*((0.0023*M23)+0.9644)&lt;AA22,AA22,AA21*((0.0023*M23)+0.9644))</f>
        <v>#VALUE!</v>
      </c>
      <c r="AB23" s="27"/>
      <c r="AC23" s="27"/>
      <c r="AD23" s="27"/>
      <c r="AE23" s="27"/>
      <c r="AF23" s="27"/>
      <c r="AG23" s="27"/>
      <c r="AH23" s="27"/>
      <c r="AI23" s="27"/>
      <c r="AJ23" s="27"/>
      <c r="AK23" s="27"/>
      <c r="AL23" s="27"/>
    </row>
    <row r="24" spans="1:45">
      <c r="A24" s="27"/>
      <c r="B24" s="115"/>
      <c r="C24" s="155"/>
      <c r="D24" s="155"/>
      <c r="E24" s="156"/>
      <c r="F24" s="117" t="str">
        <f>IFERROR(VLOOKUP($E$14,$Z$31:$AA$35,2,FALSE)*E24/10000,"")</f>
        <v/>
      </c>
      <c r="G24" s="6"/>
      <c r="H24" s="27"/>
      <c r="I24" s="157"/>
      <c r="J24" s="6"/>
      <c r="K24" s="44" t="str">
        <f t="shared" si="0"/>
        <v/>
      </c>
      <c r="L24" s="45"/>
      <c r="M24" s="46" t="str">
        <f t="shared" si="1"/>
        <v/>
      </c>
      <c r="N24" s="46">
        <f t="shared" si="2"/>
        <v>0</v>
      </c>
      <c r="O24" s="45"/>
      <c r="P24" s="34" t="s">
        <v>89</v>
      </c>
      <c r="Q24" s="47" t="str">
        <f t="shared" si="3"/>
        <v/>
      </c>
      <c r="R24" s="47" t="str">
        <f t="shared" si="4"/>
        <v/>
      </c>
      <c r="S24" s="48" t="str">
        <f t="shared" si="5"/>
        <v/>
      </c>
      <c r="T24" s="48" t="str">
        <f t="shared" si="6"/>
        <v/>
      </c>
      <c r="U24" s="27"/>
      <c r="V24" s="27"/>
      <c r="W24" s="34" t="s">
        <v>89</v>
      </c>
      <c r="X24" s="49" t="str">
        <f>IFERROR(M24*2.204622,"")</f>
        <v/>
      </c>
      <c r="Y24" s="27"/>
      <c r="Z24" s="27" t="s">
        <v>73</v>
      </c>
      <c r="AA24" s="27" t="e">
        <f>AVERAGE(AA21,AA22)</f>
        <v>#VALUE!</v>
      </c>
      <c r="AB24" s="27"/>
      <c r="AC24" s="27"/>
      <c r="AD24" s="27"/>
      <c r="AE24" s="27"/>
      <c r="AF24" s="27"/>
      <c r="AG24" s="27"/>
      <c r="AH24" s="27"/>
      <c r="AI24" s="27"/>
      <c r="AJ24" s="27"/>
      <c r="AK24" s="27"/>
      <c r="AL24" s="27"/>
    </row>
    <row r="25" spans="1:45">
      <c r="A25" s="27"/>
      <c r="B25" s="115"/>
      <c r="C25" s="155"/>
      <c r="D25" s="155"/>
      <c r="E25" s="156"/>
      <c r="F25" s="117" t="str">
        <f>IFERROR(VLOOKUP($E$14,$Z$40:$AA$47,2,FALSE)*E25/10000,"")</f>
        <v/>
      </c>
      <c r="G25" s="6"/>
      <c r="H25" s="27"/>
      <c r="I25" s="157"/>
      <c r="J25" s="6"/>
      <c r="K25" s="44" t="str">
        <f t="shared" si="0"/>
        <v/>
      </c>
      <c r="L25" s="45"/>
      <c r="M25" s="46" t="str">
        <f t="shared" si="1"/>
        <v/>
      </c>
      <c r="N25" s="46">
        <f t="shared" si="2"/>
        <v>0</v>
      </c>
      <c r="O25" s="45"/>
      <c r="P25" s="34" t="s">
        <v>90</v>
      </c>
      <c r="Q25" s="47" t="str">
        <f t="shared" si="3"/>
        <v/>
      </c>
      <c r="R25" s="47" t="str">
        <f t="shared" si="4"/>
        <v/>
      </c>
      <c r="S25" s="48" t="str">
        <f t="shared" si="5"/>
        <v/>
      </c>
      <c r="T25" s="48" t="str">
        <f t="shared" si="6"/>
        <v/>
      </c>
      <c r="U25" s="27"/>
      <c r="V25" s="27"/>
      <c r="W25" s="34" t="s">
        <v>90</v>
      </c>
      <c r="X25" s="49" t="str">
        <f>IFERROR(M25*2.204622,"")</f>
        <v/>
      </c>
      <c r="Y25" s="27"/>
      <c r="Z25" s="27" t="s">
        <v>74</v>
      </c>
      <c r="AA25" s="27" t="e">
        <f>AVERAGE(AA23,AA22)</f>
        <v>#VALUE!</v>
      </c>
      <c r="AB25" s="27"/>
      <c r="AC25" s="27"/>
      <c r="AD25" s="27"/>
      <c r="AE25" s="27"/>
      <c r="AF25" s="27"/>
      <c r="AG25" s="27"/>
      <c r="AH25" s="27"/>
      <c r="AI25" s="27"/>
      <c r="AJ25" s="27"/>
      <c r="AK25" s="27"/>
      <c r="AL25" s="27"/>
    </row>
    <row r="26" spans="1:45">
      <c r="A26" s="27"/>
      <c r="B26" s="115"/>
      <c r="C26" s="155"/>
      <c r="D26" s="155"/>
      <c r="E26" s="156"/>
      <c r="F26" s="117" t="str">
        <f>IFERROR(VLOOKUP($E$14,$Z$51:$AA$55,2,FALSE)*E26/10000,"")</f>
        <v/>
      </c>
      <c r="G26" s="6"/>
      <c r="H26" s="27"/>
      <c r="I26" s="157"/>
      <c r="J26" s="6"/>
      <c r="K26" s="44" t="str">
        <f t="shared" si="0"/>
        <v/>
      </c>
      <c r="L26" s="45"/>
      <c r="M26" s="46" t="str">
        <f t="shared" si="1"/>
        <v/>
      </c>
      <c r="N26" s="46">
        <f t="shared" si="2"/>
        <v>0</v>
      </c>
      <c r="O26" s="45"/>
      <c r="P26" s="34" t="s">
        <v>91</v>
      </c>
      <c r="Q26" s="47" t="str">
        <f t="shared" si="3"/>
        <v/>
      </c>
      <c r="R26" s="47" t="str">
        <f t="shared" si="4"/>
        <v/>
      </c>
      <c r="S26" s="48" t="str">
        <f t="shared" si="5"/>
        <v/>
      </c>
      <c r="T26" s="48" t="str">
        <f t="shared" si="6"/>
        <v/>
      </c>
      <c r="U26" s="27"/>
      <c r="V26" s="27"/>
      <c r="W26" s="34" t="s">
        <v>91</v>
      </c>
      <c r="X26" s="49" t="str">
        <f>IFERROR(M26*2.204622,"")</f>
        <v/>
      </c>
      <c r="Y26" s="27"/>
      <c r="Z26" s="27"/>
      <c r="AA26" s="27"/>
      <c r="AB26" s="27"/>
      <c r="AC26" s="27"/>
      <c r="AD26" s="27"/>
      <c r="AE26" s="27"/>
      <c r="AF26" s="27"/>
      <c r="AG26" s="27"/>
      <c r="AH26" s="27"/>
      <c r="AI26" s="27"/>
      <c r="AJ26" s="27"/>
      <c r="AK26" s="27"/>
      <c r="AL26" s="27"/>
    </row>
    <row r="27" spans="1:45">
      <c r="A27" s="27"/>
      <c r="B27" s="27"/>
      <c r="C27" s="155"/>
      <c r="D27" s="155"/>
      <c r="E27" s="156"/>
      <c r="F27" s="117" t="str">
        <f>IFERROR(VLOOKUP($E$14,$Z$58:$AA$62,2,FALSE)*E27/10000,"")</f>
        <v/>
      </c>
      <c r="G27" s="6"/>
      <c r="H27" s="27"/>
      <c r="I27" s="157"/>
      <c r="J27" s="6"/>
      <c r="K27" s="44" t="str">
        <f t="shared" si="0"/>
        <v/>
      </c>
      <c r="L27" s="45"/>
      <c r="M27" s="46" t="str">
        <f t="shared" si="1"/>
        <v/>
      </c>
      <c r="N27" s="46">
        <f t="shared" si="2"/>
        <v>0</v>
      </c>
      <c r="O27" s="45"/>
      <c r="P27" s="34" t="s">
        <v>92</v>
      </c>
      <c r="Q27" s="47" t="str">
        <f t="shared" si="3"/>
        <v/>
      </c>
      <c r="R27" s="47" t="str">
        <f t="shared" si="4"/>
        <v/>
      </c>
      <c r="S27" s="48" t="str">
        <f t="shared" si="5"/>
        <v/>
      </c>
      <c r="T27" s="48" t="str">
        <f t="shared" si="6"/>
        <v/>
      </c>
      <c r="U27" s="27"/>
      <c r="V27" s="27"/>
      <c r="W27" s="34" t="s">
        <v>92</v>
      </c>
      <c r="X27" s="49" t="str">
        <f t="shared" ref="X27:X28" si="7">IFERROR(M27*2.204622,"")</f>
        <v/>
      </c>
      <c r="Y27" s="27"/>
      <c r="Z27" s="27"/>
      <c r="AA27" s="27"/>
      <c r="AB27" s="27"/>
      <c r="AC27" s="27"/>
      <c r="AD27" s="27"/>
      <c r="AE27" s="27"/>
      <c r="AF27" s="27"/>
      <c r="AG27" s="27"/>
      <c r="AH27" s="27"/>
      <c r="AI27" s="27"/>
      <c r="AJ27" s="27"/>
      <c r="AK27" s="27"/>
      <c r="AL27" s="27"/>
    </row>
    <row r="28" spans="1:45">
      <c r="A28" s="27"/>
      <c r="B28" s="27"/>
      <c r="C28" s="155"/>
      <c r="D28" s="155"/>
      <c r="E28" s="156"/>
      <c r="F28" s="117" t="str">
        <f>IFERROR(VLOOKUP($E$14,$Z$65:$AA$69,2,FALSE)*E28/10000,"")</f>
        <v/>
      </c>
      <c r="G28" s="6"/>
      <c r="H28" s="27"/>
      <c r="I28" s="157"/>
      <c r="J28" s="6"/>
      <c r="K28" s="44" t="str">
        <f t="shared" si="0"/>
        <v/>
      </c>
      <c r="L28" s="45"/>
      <c r="M28" s="46" t="str">
        <f t="shared" si="1"/>
        <v/>
      </c>
      <c r="N28" s="46">
        <f t="shared" si="2"/>
        <v>0</v>
      </c>
      <c r="O28" s="45"/>
      <c r="P28" s="34" t="s">
        <v>93</v>
      </c>
      <c r="Q28" s="47" t="str">
        <f t="shared" si="3"/>
        <v/>
      </c>
      <c r="R28" s="47" t="str">
        <f t="shared" si="4"/>
        <v/>
      </c>
      <c r="S28" s="48" t="str">
        <f t="shared" si="5"/>
        <v/>
      </c>
      <c r="T28" s="48" t="str">
        <f t="shared" si="6"/>
        <v/>
      </c>
      <c r="U28" s="27"/>
      <c r="V28" s="27"/>
      <c r="W28" s="34" t="s">
        <v>93</v>
      </c>
      <c r="X28" s="49" t="str">
        <f t="shared" si="7"/>
        <v/>
      </c>
      <c r="Y28" s="27"/>
      <c r="Z28" s="27"/>
      <c r="AA28" s="27"/>
      <c r="AB28" s="27"/>
      <c r="AC28" s="27"/>
      <c r="AD28" s="27"/>
      <c r="AE28" s="27"/>
      <c r="AF28" s="27"/>
      <c r="AG28" s="27"/>
      <c r="AH28" s="27"/>
      <c r="AI28" s="27"/>
      <c r="AJ28" s="27"/>
      <c r="AK28" s="27"/>
      <c r="AL28" s="27"/>
    </row>
    <row r="29" spans="1:45" hidden="1">
      <c r="A29" s="27"/>
      <c r="B29" s="27"/>
      <c r="C29" s="50"/>
      <c r="D29" s="50"/>
      <c r="E29" s="51"/>
      <c r="F29" s="43"/>
      <c r="G29" s="52"/>
      <c r="H29" s="27"/>
      <c r="I29" s="53"/>
      <c r="J29" s="52"/>
      <c r="K29" s="44">
        <f>IFERROR(I29-F29,"")</f>
        <v>0</v>
      </c>
      <c r="L29" s="45"/>
      <c r="M29" s="46"/>
      <c r="N29" s="46"/>
      <c r="O29" s="45"/>
      <c r="P29" s="27"/>
      <c r="Q29" s="47"/>
      <c r="R29" s="47"/>
      <c r="S29" s="48"/>
      <c r="T29" s="48"/>
      <c r="U29" s="27"/>
      <c r="V29" s="27"/>
      <c r="W29" s="27"/>
      <c r="X29" s="49"/>
      <c r="Y29" s="27"/>
      <c r="Z29" s="27"/>
      <c r="AA29" s="27"/>
      <c r="AB29" s="27"/>
      <c r="AC29" s="27"/>
      <c r="AD29" s="27"/>
      <c r="AE29" s="27"/>
      <c r="AF29" s="27"/>
      <c r="AG29" s="27"/>
      <c r="AH29" s="27"/>
      <c r="AI29" s="27"/>
      <c r="AJ29" s="27"/>
      <c r="AK29" s="27"/>
      <c r="AL29" s="27"/>
      <c r="AR29" s="1">
        <f t="shared" ref="AR29:AS44" si="8">C27*2.204622</f>
        <v>0</v>
      </c>
      <c r="AS29" s="1">
        <f t="shared" si="8"/>
        <v>0</v>
      </c>
    </row>
    <row r="30" spans="1:45" hidden="1">
      <c r="A30" s="27"/>
      <c r="B30" s="54"/>
      <c r="C30" s="54"/>
      <c r="D30" s="54"/>
      <c r="E30" s="54"/>
      <c r="F30" s="43"/>
      <c r="G30" s="55"/>
      <c r="H30" s="27"/>
      <c r="I30" s="56"/>
      <c r="J30" s="57"/>
      <c r="K30" s="33"/>
      <c r="L30" s="45"/>
      <c r="M30" s="45"/>
      <c r="N30" s="58">
        <f>SUM(N22:N28)</f>
        <v>0</v>
      </c>
      <c r="O30" s="58"/>
      <c r="P30" s="27"/>
      <c r="Q30" s="45"/>
      <c r="R30" s="45"/>
      <c r="S30" s="48">
        <f>SUM(S22:S28)</f>
        <v>0</v>
      </c>
      <c r="T30" s="48">
        <f>SUM(T22:T28)</f>
        <v>0</v>
      </c>
      <c r="U30" s="27"/>
      <c r="V30" s="27"/>
      <c r="W30" s="27"/>
      <c r="X30" s="49"/>
      <c r="Y30" s="27"/>
      <c r="Z30" s="27" t="s">
        <v>80</v>
      </c>
      <c r="AA30" s="27"/>
      <c r="AB30" s="27"/>
      <c r="AC30" s="27"/>
      <c r="AD30" s="27"/>
      <c r="AE30" s="27"/>
      <c r="AF30" s="27"/>
      <c r="AG30" s="27"/>
      <c r="AH30" s="27"/>
      <c r="AI30" s="27"/>
      <c r="AJ30" s="27"/>
      <c r="AK30" s="27"/>
      <c r="AL30" s="27"/>
      <c r="AR30" s="1">
        <f t="shared" si="8"/>
        <v>0</v>
      </c>
      <c r="AS30" s="1">
        <f t="shared" si="8"/>
        <v>0</v>
      </c>
    </row>
    <row r="31" spans="1:45" hidden="1">
      <c r="A31" s="27"/>
      <c r="B31" s="59">
        <v>1</v>
      </c>
      <c r="C31" s="60" t="s">
        <v>0</v>
      </c>
      <c r="D31" s="61" t="str">
        <f t="shared" ref="D31:D37" si="9">IFERROR(1.1298+(-0.00162*$M22*2.2046)+(0.000004267*($M22*2.2046)^2)+0.3757*(0),"")</f>
        <v/>
      </c>
      <c r="E31" s="62"/>
      <c r="F31" s="61" t="str">
        <f t="shared" ref="F31:F37" si="10">IFERROR(1.1298+(-0.00162*$M22*2.2046)+(0.000004267*($M22*2.2046)^2)+0.3757*($K22),"")</f>
        <v/>
      </c>
      <c r="G31" s="63">
        <f t="shared" ref="G31:G42" si="11">IFERROR(F31/D31,0)</f>
        <v>0</v>
      </c>
      <c r="H31" s="64"/>
      <c r="I31" s="65"/>
      <c r="J31" s="27"/>
      <c r="K31" s="27"/>
      <c r="L31" s="27"/>
      <c r="M31" s="27"/>
      <c r="N31" s="27"/>
      <c r="O31" s="27"/>
      <c r="P31" s="27"/>
      <c r="Q31" s="27"/>
      <c r="R31" s="66"/>
      <c r="S31" s="67" t="e">
        <f>S30/N30</f>
        <v>#DIV/0!</v>
      </c>
      <c r="T31" s="67" t="e">
        <f>T30/N30</f>
        <v>#DIV/0!</v>
      </c>
      <c r="U31" s="27"/>
      <c r="V31" s="27"/>
      <c r="W31" s="27"/>
      <c r="X31" s="49"/>
      <c r="Y31" s="27"/>
      <c r="Z31" s="27" t="s">
        <v>56</v>
      </c>
      <c r="AA31" s="27" t="e">
        <f>((0.000031*X24^2)-(0.0176*X24)+4.5523)</f>
        <v>#VALUE!</v>
      </c>
      <c r="AB31" s="27"/>
      <c r="AC31" s="27"/>
      <c r="AD31" s="27"/>
      <c r="AE31" s="27"/>
      <c r="AF31" s="27"/>
      <c r="AG31" s="27"/>
      <c r="AH31" s="27"/>
      <c r="AI31" s="27"/>
      <c r="AJ31" s="27"/>
      <c r="AK31" s="27"/>
      <c r="AL31" s="27"/>
      <c r="AR31" s="1">
        <f t="shared" si="8"/>
        <v>0</v>
      </c>
      <c r="AS31" s="1">
        <f t="shared" si="8"/>
        <v>0</v>
      </c>
    </row>
    <row r="32" spans="1:45" hidden="1">
      <c r="A32" s="27"/>
      <c r="B32" s="59">
        <v>2</v>
      </c>
      <c r="C32" s="60" t="s">
        <v>0</v>
      </c>
      <c r="D32" s="61" t="str">
        <f t="shared" si="9"/>
        <v/>
      </c>
      <c r="E32" s="62"/>
      <c r="F32" s="61" t="str">
        <f t="shared" si="10"/>
        <v/>
      </c>
      <c r="G32" s="63">
        <f t="shared" si="11"/>
        <v>0</v>
      </c>
      <c r="H32" s="64"/>
      <c r="I32" s="64"/>
      <c r="J32" s="27"/>
      <c r="K32" s="27"/>
      <c r="L32" s="27"/>
      <c r="M32" s="27"/>
      <c r="N32" s="27"/>
      <c r="O32" s="27"/>
      <c r="P32" s="27"/>
      <c r="Q32" s="27"/>
      <c r="R32" s="27"/>
      <c r="S32" s="27"/>
      <c r="T32" s="27"/>
      <c r="U32" s="27"/>
      <c r="V32" s="27"/>
      <c r="W32" s="27"/>
      <c r="X32" s="49"/>
      <c r="Y32" s="27"/>
      <c r="Z32" s="27" t="s">
        <v>55</v>
      </c>
      <c r="AA32" s="27" t="e">
        <f>((0.000043*X24^2)-(0.02154*X24)+4.9538)</f>
        <v>#VALUE!</v>
      </c>
      <c r="AB32" s="27"/>
      <c r="AC32" s="27"/>
      <c r="AD32" s="27"/>
      <c r="AE32" s="27"/>
      <c r="AF32" s="27"/>
      <c r="AG32" s="27"/>
      <c r="AH32" s="27"/>
      <c r="AI32" s="27"/>
      <c r="AJ32" s="27"/>
      <c r="AK32" s="27"/>
      <c r="AL32" s="27"/>
      <c r="AR32" s="1">
        <f t="shared" si="8"/>
        <v>0</v>
      </c>
      <c r="AS32" s="1">
        <f t="shared" si="8"/>
        <v>0</v>
      </c>
    </row>
    <row r="33" spans="1:45" hidden="1">
      <c r="A33" s="27"/>
      <c r="B33" s="68">
        <v>3</v>
      </c>
      <c r="C33" s="60" t="s">
        <v>0</v>
      </c>
      <c r="D33" s="61" t="str">
        <f t="shared" si="9"/>
        <v/>
      </c>
      <c r="E33" s="62"/>
      <c r="F33" s="61" t="str">
        <f t="shared" si="10"/>
        <v/>
      </c>
      <c r="G33" s="63">
        <f t="shared" si="11"/>
        <v>0</v>
      </c>
      <c r="H33" s="59"/>
      <c r="I33" s="69"/>
      <c r="J33" s="27"/>
      <c r="K33" s="27"/>
      <c r="L33" s="27"/>
      <c r="M33" s="27"/>
      <c r="N33" s="27"/>
      <c r="O33" s="27"/>
      <c r="P33" s="70"/>
      <c r="Q33" s="27"/>
      <c r="R33" s="70"/>
      <c r="S33" s="71"/>
      <c r="T33" s="27"/>
      <c r="U33" s="27"/>
      <c r="V33" s="27"/>
      <c r="W33" s="70"/>
      <c r="X33" s="49"/>
      <c r="Y33" s="27"/>
      <c r="Z33" s="27" t="s">
        <v>72</v>
      </c>
      <c r="AA33" s="27" t="e">
        <f>IF(AA31*((0.0023*M24)+0.9644)&lt;AA32,AA32,AA31*((0.0023*M24)+0.9644))</f>
        <v>#VALUE!</v>
      </c>
      <c r="AB33" s="27"/>
      <c r="AC33" s="27"/>
      <c r="AD33" s="27"/>
      <c r="AE33" s="27"/>
      <c r="AF33" s="27"/>
      <c r="AG33" s="27"/>
      <c r="AH33" s="27"/>
      <c r="AI33" s="27"/>
      <c r="AJ33" s="27"/>
      <c r="AK33" s="27"/>
      <c r="AL33" s="27"/>
      <c r="AR33" s="1" t="e">
        <f t="shared" si="8"/>
        <v>#VALUE!</v>
      </c>
      <c r="AS33" s="1" t="e">
        <f t="shared" si="8"/>
        <v>#VALUE!</v>
      </c>
    </row>
    <row r="34" spans="1:45" hidden="1">
      <c r="A34" s="27"/>
      <c r="B34" s="68">
        <v>4</v>
      </c>
      <c r="C34" s="60" t="s">
        <v>0</v>
      </c>
      <c r="D34" s="61" t="str">
        <f t="shared" si="9"/>
        <v/>
      </c>
      <c r="E34" s="62"/>
      <c r="F34" s="61" t="str">
        <f t="shared" si="10"/>
        <v/>
      </c>
      <c r="G34" s="63">
        <f t="shared" si="11"/>
        <v>0</v>
      </c>
      <c r="H34" s="59"/>
      <c r="I34" s="59"/>
      <c r="J34" s="27"/>
      <c r="K34" s="27"/>
      <c r="L34" s="27"/>
      <c r="M34" s="27"/>
      <c r="N34" s="27"/>
      <c r="O34" s="27"/>
      <c r="P34" s="70"/>
      <c r="Q34" s="27"/>
      <c r="R34" s="70"/>
      <c r="S34" s="27"/>
      <c r="T34" s="27"/>
      <c r="U34" s="27"/>
      <c r="V34" s="27"/>
      <c r="W34" s="70"/>
      <c r="X34" s="49"/>
      <c r="Y34" s="27"/>
      <c r="Z34" s="27" t="s">
        <v>73</v>
      </c>
      <c r="AA34" s="27" t="e">
        <f>AVERAGE(AA31,AA32)</f>
        <v>#VALUE!</v>
      </c>
      <c r="AB34" s="27"/>
      <c r="AC34" s="27"/>
      <c r="AD34" s="27"/>
      <c r="AE34" s="27"/>
      <c r="AF34" s="27"/>
      <c r="AG34" s="27"/>
      <c r="AH34" s="27"/>
      <c r="AI34" s="27"/>
      <c r="AJ34" s="27"/>
      <c r="AK34" s="27"/>
      <c r="AL34" s="27"/>
      <c r="AR34" s="1" t="e">
        <f t="shared" si="8"/>
        <v>#VALUE!</v>
      </c>
      <c r="AS34" s="1" t="e">
        <f t="shared" si="8"/>
        <v>#VALUE!</v>
      </c>
    </row>
    <row r="35" spans="1:45" hidden="1">
      <c r="A35" s="27"/>
      <c r="B35" s="68">
        <v>5</v>
      </c>
      <c r="C35" s="60" t="s">
        <v>0</v>
      </c>
      <c r="D35" s="61" t="str">
        <f t="shared" si="9"/>
        <v/>
      </c>
      <c r="E35" s="62"/>
      <c r="F35" s="61" t="str">
        <f t="shared" si="10"/>
        <v/>
      </c>
      <c r="G35" s="63">
        <f t="shared" si="11"/>
        <v>0</v>
      </c>
      <c r="H35" s="59"/>
      <c r="I35" s="72"/>
      <c r="J35" s="27"/>
      <c r="K35" s="27"/>
      <c r="L35" s="27"/>
      <c r="M35" s="27"/>
      <c r="N35" s="27"/>
      <c r="O35" s="27"/>
      <c r="P35" s="70"/>
      <c r="Q35" s="27"/>
      <c r="R35" s="70"/>
      <c r="S35" s="27"/>
      <c r="T35" s="27"/>
      <c r="U35" s="27"/>
      <c r="V35" s="27"/>
      <c r="W35" s="70"/>
      <c r="X35" s="49"/>
      <c r="Y35" s="27"/>
      <c r="Z35" s="27" t="s">
        <v>74</v>
      </c>
      <c r="AA35" s="27" t="e">
        <f>AVERAGE(AA33,AA32)</f>
        <v>#VALUE!</v>
      </c>
      <c r="AB35" s="27"/>
      <c r="AC35" s="27"/>
      <c r="AD35" s="27"/>
      <c r="AE35" s="27"/>
      <c r="AF35" s="27"/>
      <c r="AG35" s="27"/>
      <c r="AH35" s="27"/>
      <c r="AI35" s="27"/>
      <c r="AJ35" s="27"/>
      <c r="AK35" s="27"/>
      <c r="AL35" s="27"/>
      <c r="AR35" s="1" t="e">
        <f t="shared" si="8"/>
        <v>#VALUE!</v>
      </c>
      <c r="AS35" s="1" t="e">
        <f t="shared" si="8"/>
        <v>#VALUE!</v>
      </c>
    </row>
    <row r="36" spans="1:45" hidden="1">
      <c r="A36" s="27"/>
      <c r="B36" s="59">
        <v>6</v>
      </c>
      <c r="C36" s="60" t="s">
        <v>0</v>
      </c>
      <c r="D36" s="61" t="str">
        <f t="shared" si="9"/>
        <v/>
      </c>
      <c r="E36" s="62"/>
      <c r="F36" s="61" t="str">
        <f t="shared" si="10"/>
        <v/>
      </c>
      <c r="G36" s="63">
        <f>IFERROR(F36/D36,0)</f>
        <v>0</v>
      </c>
      <c r="H36" s="59"/>
      <c r="I36" s="72"/>
      <c r="J36" s="27"/>
      <c r="K36" s="27"/>
      <c r="L36" s="27"/>
      <c r="M36" s="27"/>
      <c r="N36" s="27"/>
      <c r="O36" s="27"/>
      <c r="P36" s="70"/>
      <c r="Q36" s="27"/>
      <c r="R36" s="70"/>
      <c r="S36" s="27"/>
      <c r="T36" s="27"/>
      <c r="U36" s="27"/>
      <c r="V36" s="27"/>
      <c r="W36" s="70"/>
      <c r="X36" s="49"/>
      <c r="Y36" s="27"/>
      <c r="Z36" s="27"/>
      <c r="AA36" s="27"/>
      <c r="AB36" s="27"/>
      <c r="AC36" s="27"/>
      <c r="AD36" s="27"/>
      <c r="AE36" s="27"/>
      <c r="AF36" s="27"/>
      <c r="AG36" s="27"/>
      <c r="AH36" s="27"/>
      <c r="AI36" s="27"/>
      <c r="AJ36" s="27"/>
      <c r="AK36" s="27"/>
      <c r="AL36" s="27"/>
      <c r="AR36" s="1" t="e">
        <f t="shared" si="8"/>
        <v>#VALUE!</v>
      </c>
      <c r="AS36" s="1" t="e">
        <f t="shared" si="8"/>
        <v>#VALUE!</v>
      </c>
    </row>
    <row r="37" spans="1:45" hidden="1">
      <c r="A37" s="27"/>
      <c r="B37" s="59">
        <v>7</v>
      </c>
      <c r="C37" s="60" t="s">
        <v>0</v>
      </c>
      <c r="D37" s="61" t="str">
        <f t="shared" si="9"/>
        <v/>
      </c>
      <c r="E37" s="62"/>
      <c r="F37" s="61" t="str">
        <f t="shared" si="10"/>
        <v/>
      </c>
      <c r="G37" s="63">
        <f>IFERROR(F37/D37,0)</f>
        <v>0</v>
      </c>
      <c r="H37" s="59"/>
      <c r="I37" s="72"/>
      <c r="J37" s="27"/>
      <c r="K37" s="27"/>
      <c r="L37" s="27"/>
      <c r="M37" s="27"/>
      <c r="N37" s="27"/>
      <c r="O37" s="27"/>
      <c r="P37" s="70"/>
      <c r="Q37" s="27"/>
      <c r="R37" s="70"/>
      <c r="S37" s="27"/>
      <c r="T37" s="27"/>
      <c r="U37" s="27"/>
      <c r="V37" s="27"/>
      <c r="W37" s="70"/>
      <c r="X37" s="49"/>
      <c r="Y37" s="27"/>
      <c r="Z37" s="27"/>
      <c r="AA37" s="27"/>
      <c r="AB37" s="27"/>
      <c r="AC37" s="27"/>
      <c r="AD37" s="27"/>
      <c r="AE37" s="27"/>
      <c r="AF37" s="27"/>
      <c r="AG37" s="27"/>
      <c r="AH37" s="27"/>
      <c r="AI37" s="27"/>
      <c r="AJ37" s="27"/>
      <c r="AK37" s="27"/>
      <c r="AL37" s="27"/>
      <c r="AR37" s="1" t="e">
        <f t="shared" si="8"/>
        <v>#VALUE!</v>
      </c>
      <c r="AS37" s="1" t="e">
        <f t="shared" si="8"/>
        <v>#VALUE!</v>
      </c>
    </row>
    <row r="38" spans="1:45" hidden="1">
      <c r="A38" s="27"/>
      <c r="B38" s="59">
        <v>1</v>
      </c>
      <c r="C38" s="60" t="s">
        <v>1</v>
      </c>
      <c r="D38" s="73" t="str">
        <f t="shared" ref="D38:D44" si="12">IFERROR(1.0532+(-0.00083*$M22*2.2046)+(0.000002369*($M22*2.2046)^2)+0.3235*(0),"")</f>
        <v/>
      </c>
      <c r="E38" s="62"/>
      <c r="F38" s="73" t="str">
        <f t="shared" ref="F38:F44" si="13">IFERROR(1.0532+(-0.00083*$M22*2.2046)+(0.000002369*($M22*2.2046)^2)+0.3235*(K22),"")</f>
        <v/>
      </c>
      <c r="G38" s="63">
        <f t="shared" si="11"/>
        <v>0</v>
      </c>
      <c r="H38" s="59"/>
      <c r="I38" s="59"/>
      <c r="J38" s="27"/>
      <c r="K38" s="27"/>
      <c r="L38" s="27"/>
      <c r="M38" s="27"/>
      <c r="N38" s="27"/>
      <c r="O38" s="27"/>
      <c r="P38" s="70"/>
      <c r="Q38" s="27"/>
      <c r="R38" s="70"/>
      <c r="S38" s="27"/>
      <c r="T38" s="27"/>
      <c r="U38" s="27"/>
      <c r="V38" s="27"/>
      <c r="W38" s="70"/>
      <c r="X38" s="49"/>
      <c r="Y38" s="27"/>
      <c r="Z38" s="27"/>
      <c r="AA38" s="27"/>
      <c r="AB38" s="27"/>
      <c r="AC38" s="27"/>
      <c r="AD38" s="27"/>
      <c r="AE38" s="27"/>
      <c r="AF38" s="27"/>
      <c r="AG38" s="27"/>
      <c r="AH38" s="27"/>
      <c r="AI38" s="27"/>
      <c r="AJ38" s="27"/>
      <c r="AK38" s="27"/>
      <c r="AL38" s="27"/>
      <c r="AR38" s="1" t="e">
        <f t="shared" si="8"/>
        <v>#VALUE!</v>
      </c>
      <c r="AS38" s="1" t="e">
        <f t="shared" si="8"/>
        <v>#VALUE!</v>
      </c>
    </row>
    <row r="39" spans="1:45" hidden="1">
      <c r="A39" s="27"/>
      <c r="B39" s="59">
        <v>2</v>
      </c>
      <c r="C39" s="60" t="s">
        <v>1</v>
      </c>
      <c r="D39" s="73" t="str">
        <f t="shared" si="12"/>
        <v/>
      </c>
      <c r="E39" s="62"/>
      <c r="F39" s="73" t="str">
        <f t="shared" si="13"/>
        <v/>
      </c>
      <c r="G39" s="63">
        <f t="shared" si="11"/>
        <v>0</v>
      </c>
      <c r="H39" s="59"/>
      <c r="I39" s="69"/>
      <c r="J39" s="27"/>
      <c r="K39" s="27"/>
      <c r="L39" s="27"/>
      <c r="M39" s="27"/>
      <c r="N39" s="27"/>
      <c r="O39" s="27"/>
      <c r="P39" s="70"/>
      <c r="Q39" s="27"/>
      <c r="R39" s="70"/>
      <c r="S39" s="27"/>
      <c r="T39" s="27"/>
      <c r="U39" s="27"/>
      <c r="V39" s="27"/>
      <c r="W39" s="70"/>
      <c r="X39" s="49"/>
      <c r="Y39" s="27"/>
      <c r="Z39" s="27" t="s">
        <v>81</v>
      </c>
      <c r="AA39" s="27"/>
      <c r="AB39" s="27"/>
      <c r="AC39" s="27"/>
      <c r="AD39" s="27"/>
      <c r="AE39" s="27"/>
      <c r="AF39" s="27"/>
      <c r="AG39" s="27"/>
      <c r="AH39" s="27"/>
      <c r="AI39" s="27"/>
      <c r="AJ39" s="27"/>
      <c r="AK39" s="27"/>
      <c r="AL39" s="27"/>
      <c r="AR39" s="1" t="e">
        <f t="shared" si="8"/>
        <v>#VALUE!</v>
      </c>
      <c r="AS39" s="1" t="e">
        <f t="shared" si="8"/>
        <v>#VALUE!</v>
      </c>
    </row>
    <row r="40" spans="1:45" hidden="1">
      <c r="A40" s="27"/>
      <c r="B40" s="68">
        <v>3</v>
      </c>
      <c r="C40" s="60" t="s">
        <v>1</v>
      </c>
      <c r="D40" s="73" t="str">
        <f t="shared" si="12"/>
        <v/>
      </c>
      <c r="E40" s="62"/>
      <c r="F40" s="73" t="str">
        <f t="shared" si="13"/>
        <v/>
      </c>
      <c r="G40" s="63">
        <f t="shared" si="11"/>
        <v>0</v>
      </c>
      <c r="H40" s="59"/>
      <c r="I40" s="59"/>
      <c r="J40" s="27"/>
      <c r="K40" s="27"/>
      <c r="L40" s="27"/>
      <c r="M40" s="27"/>
      <c r="N40" s="27"/>
      <c r="O40" s="27"/>
      <c r="P40" s="70"/>
      <c r="Q40" s="27"/>
      <c r="R40" s="70"/>
      <c r="S40" s="27"/>
      <c r="T40" s="27"/>
      <c r="U40" s="27"/>
      <c r="V40" s="27"/>
      <c r="W40" s="70"/>
      <c r="X40" s="49"/>
      <c r="Y40" s="27"/>
      <c r="Z40" s="27" t="s">
        <v>56</v>
      </c>
      <c r="AA40" s="27" t="e">
        <f>((0.000031*X25^2)-(0.0176*X25)+4.5523)</f>
        <v>#VALUE!</v>
      </c>
      <c r="AB40" s="27"/>
      <c r="AC40" s="27"/>
      <c r="AD40" s="27"/>
      <c r="AE40" s="27"/>
      <c r="AF40" s="27"/>
      <c r="AG40" s="27"/>
      <c r="AH40" s="27"/>
      <c r="AI40" s="27"/>
      <c r="AJ40" s="27"/>
      <c r="AK40" s="27"/>
      <c r="AL40" s="27"/>
      <c r="AR40" s="1" t="e">
        <f t="shared" si="8"/>
        <v>#VALUE!</v>
      </c>
      <c r="AS40" s="1" t="e">
        <f t="shared" si="8"/>
        <v>#VALUE!</v>
      </c>
    </row>
    <row r="41" spans="1:45" hidden="1">
      <c r="A41" s="27"/>
      <c r="B41" s="68">
        <v>4</v>
      </c>
      <c r="C41" s="60" t="s">
        <v>1</v>
      </c>
      <c r="D41" s="73" t="str">
        <f t="shared" si="12"/>
        <v/>
      </c>
      <c r="E41" s="62"/>
      <c r="F41" s="73" t="str">
        <f t="shared" si="13"/>
        <v/>
      </c>
      <c r="G41" s="63">
        <f t="shared" si="11"/>
        <v>0</v>
      </c>
      <c r="H41" s="59"/>
      <c r="I41" s="69"/>
      <c r="J41" s="27"/>
      <c r="K41" s="27"/>
      <c r="L41" s="27"/>
      <c r="M41" s="27"/>
      <c r="N41" s="27"/>
      <c r="O41" s="27"/>
      <c r="P41" s="70"/>
      <c r="Q41" s="27"/>
      <c r="R41" s="70"/>
      <c r="S41" s="27"/>
      <c r="T41" s="27"/>
      <c r="U41" s="27"/>
      <c r="V41" s="27"/>
      <c r="W41" s="70"/>
      <c r="X41" s="49"/>
      <c r="Y41" s="27"/>
      <c r="Z41" s="27" t="s">
        <v>55</v>
      </c>
      <c r="AA41" s="27" t="e">
        <f>((0.000043*X25^2)-(0.02154*X25)+4.9538)</f>
        <v>#VALUE!</v>
      </c>
      <c r="AB41" s="27"/>
      <c r="AC41" s="27"/>
      <c r="AD41" s="27"/>
      <c r="AE41" s="27"/>
      <c r="AF41" s="27"/>
      <c r="AG41" s="27"/>
      <c r="AH41" s="27"/>
      <c r="AI41" s="27"/>
      <c r="AJ41" s="27"/>
      <c r="AK41" s="27"/>
      <c r="AL41" s="27"/>
      <c r="AR41" s="1" t="e">
        <f t="shared" si="8"/>
        <v>#VALUE!</v>
      </c>
      <c r="AS41" s="1" t="e">
        <f t="shared" si="8"/>
        <v>#VALUE!</v>
      </c>
    </row>
    <row r="42" spans="1:45" hidden="1">
      <c r="A42" s="27"/>
      <c r="B42" s="68">
        <v>5</v>
      </c>
      <c r="C42" s="60" t="s">
        <v>1</v>
      </c>
      <c r="D42" s="73" t="str">
        <f t="shared" si="12"/>
        <v/>
      </c>
      <c r="E42" s="62"/>
      <c r="F42" s="73" t="str">
        <f t="shared" si="13"/>
        <v/>
      </c>
      <c r="G42" s="63">
        <f t="shared" si="11"/>
        <v>0</v>
      </c>
      <c r="H42" s="59"/>
      <c r="I42" s="59"/>
      <c r="J42" s="27"/>
      <c r="K42" s="27"/>
      <c r="L42" s="27"/>
      <c r="M42" s="27"/>
      <c r="N42" s="27"/>
      <c r="O42" s="27"/>
      <c r="P42" s="70"/>
      <c r="Q42" s="27"/>
      <c r="R42" s="70"/>
      <c r="S42" s="27"/>
      <c r="T42" s="27"/>
      <c r="U42" s="27"/>
      <c r="V42" s="27"/>
      <c r="W42" s="70"/>
      <c r="X42" s="49"/>
      <c r="Y42" s="27"/>
      <c r="Z42" s="27" t="s">
        <v>72</v>
      </c>
      <c r="AA42" s="27" t="e">
        <f>IF(AA40*((0.0023*M25)+0.9644)&lt;AA41,AA41,AA40*((0.0023*M25)+0.9644))</f>
        <v>#VALUE!</v>
      </c>
      <c r="AB42" s="27"/>
      <c r="AC42" s="27"/>
      <c r="AD42" s="27"/>
      <c r="AE42" s="27"/>
      <c r="AF42" s="27"/>
      <c r="AG42" s="27"/>
      <c r="AH42" s="27"/>
      <c r="AI42" s="27"/>
      <c r="AJ42" s="27"/>
      <c r="AK42" s="27"/>
      <c r="AL42" s="27"/>
      <c r="AR42" s="1" t="e">
        <f t="shared" si="8"/>
        <v>#VALUE!</v>
      </c>
      <c r="AS42" s="1" t="e">
        <f t="shared" si="8"/>
        <v>#VALUE!</v>
      </c>
    </row>
    <row r="43" spans="1:45" hidden="1">
      <c r="A43" s="27"/>
      <c r="B43" s="59">
        <v>6</v>
      </c>
      <c r="C43" s="60" t="s">
        <v>1</v>
      </c>
      <c r="D43" s="73" t="str">
        <f t="shared" si="12"/>
        <v/>
      </c>
      <c r="E43" s="62"/>
      <c r="F43" s="73" t="str">
        <f t="shared" si="13"/>
        <v/>
      </c>
      <c r="G43" s="63">
        <f>IFERROR(F43/D43,0)</f>
        <v>0</v>
      </c>
      <c r="H43" s="59"/>
      <c r="I43" s="59"/>
      <c r="J43" s="27"/>
      <c r="K43" s="27"/>
      <c r="L43" s="27"/>
      <c r="M43" s="27"/>
      <c r="N43" s="27"/>
      <c r="O43" s="27"/>
      <c r="P43" s="70"/>
      <c r="Q43" s="27"/>
      <c r="R43" s="70"/>
      <c r="S43" s="27"/>
      <c r="T43" s="27"/>
      <c r="U43" s="27"/>
      <c r="V43" s="27"/>
      <c r="W43" s="70"/>
      <c r="X43" s="49"/>
      <c r="Y43" s="27"/>
      <c r="Z43" s="27"/>
      <c r="AA43" s="27"/>
      <c r="AB43" s="27"/>
      <c r="AC43" s="27"/>
      <c r="AD43" s="27"/>
      <c r="AE43" s="27"/>
      <c r="AF43" s="27"/>
      <c r="AG43" s="27"/>
      <c r="AH43" s="27"/>
      <c r="AI43" s="27"/>
      <c r="AJ43" s="27"/>
      <c r="AK43" s="27"/>
      <c r="AL43" s="27"/>
      <c r="AR43" s="1" t="e">
        <f t="shared" si="8"/>
        <v>#VALUE!</v>
      </c>
      <c r="AS43" s="1" t="e">
        <f t="shared" si="8"/>
        <v>#VALUE!</v>
      </c>
    </row>
    <row r="44" spans="1:45" hidden="1">
      <c r="A44" s="27"/>
      <c r="B44" s="59">
        <v>7</v>
      </c>
      <c r="C44" s="60" t="s">
        <v>1</v>
      </c>
      <c r="D44" s="73" t="str">
        <f t="shared" si="12"/>
        <v/>
      </c>
      <c r="E44" s="62"/>
      <c r="F44" s="73" t="str">
        <f t="shared" si="13"/>
        <v/>
      </c>
      <c r="G44" s="63">
        <f>IFERROR(F44/D44,0)</f>
        <v>0</v>
      </c>
      <c r="H44" s="59"/>
      <c r="I44" s="59"/>
      <c r="J44" s="27"/>
      <c r="K44" s="27"/>
      <c r="L44" s="27"/>
      <c r="M44" s="27"/>
      <c r="N44" s="27"/>
      <c r="O44" s="27"/>
      <c r="P44" s="70"/>
      <c r="Q44" s="27"/>
      <c r="R44" s="70"/>
      <c r="S44" s="27"/>
      <c r="T44" s="27"/>
      <c r="U44" s="27"/>
      <c r="V44" s="27"/>
      <c r="W44" s="70"/>
      <c r="X44" s="49"/>
      <c r="Y44" s="27"/>
      <c r="Z44" s="27"/>
      <c r="AA44" s="27"/>
      <c r="AB44" s="27"/>
      <c r="AC44" s="27"/>
      <c r="AD44" s="27"/>
      <c r="AE44" s="27"/>
      <c r="AF44" s="27"/>
      <c r="AG44" s="27"/>
      <c r="AH44" s="27"/>
      <c r="AI44" s="27"/>
      <c r="AJ44" s="27"/>
      <c r="AK44" s="27"/>
      <c r="AL44" s="27"/>
      <c r="AR44" s="1" t="e">
        <f t="shared" si="8"/>
        <v>#VALUE!</v>
      </c>
      <c r="AS44" s="1" t="e">
        <f t="shared" si="8"/>
        <v>#VALUE!</v>
      </c>
    </row>
    <row r="45" spans="1:45" hidden="1">
      <c r="A45" s="27"/>
      <c r="B45" s="68"/>
      <c r="C45" s="60"/>
      <c r="D45" s="73"/>
      <c r="E45" s="62"/>
      <c r="F45" s="73"/>
      <c r="G45" s="63"/>
      <c r="H45" s="59"/>
      <c r="I45" s="59"/>
      <c r="J45" s="27"/>
      <c r="K45" s="27"/>
      <c r="L45" s="27"/>
      <c r="M45" s="27"/>
      <c r="N45" s="27"/>
      <c r="O45" s="27"/>
      <c r="P45" s="70"/>
      <c r="Q45" s="27"/>
      <c r="R45" s="70"/>
      <c r="S45" s="27"/>
      <c r="T45" s="27"/>
      <c r="U45" s="27"/>
      <c r="V45" s="27"/>
      <c r="W45" s="70"/>
      <c r="X45" s="49"/>
      <c r="Y45" s="27"/>
      <c r="Z45" s="27"/>
      <c r="AA45" s="27"/>
      <c r="AB45" s="27"/>
      <c r="AC45" s="27"/>
      <c r="AD45" s="27"/>
      <c r="AE45" s="27"/>
      <c r="AF45" s="27"/>
      <c r="AG45" s="27"/>
      <c r="AH45" s="27"/>
      <c r="AI45" s="27"/>
      <c r="AJ45" s="27"/>
      <c r="AK45" s="27"/>
      <c r="AL45" s="27"/>
      <c r="AR45" s="1" t="e">
        <f t="shared" ref="AR45:AS48" si="14">C43*2.204622</f>
        <v>#VALUE!</v>
      </c>
      <c r="AS45" s="1" t="e">
        <f t="shared" si="14"/>
        <v>#VALUE!</v>
      </c>
    </row>
    <row r="46" spans="1:45" hidden="1">
      <c r="A46" s="27"/>
      <c r="B46" s="74"/>
      <c r="C46" s="74"/>
      <c r="D46" s="74"/>
      <c r="E46" s="74"/>
      <c r="F46" s="75"/>
      <c r="G46" s="76"/>
      <c r="H46" s="77"/>
      <c r="I46" s="78"/>
      <c r="J46" s="79"/>
      <c r="K46" s="80"/>
      <c r="L46" s="81"/>
      <c r="M46" s="82"/>
      <c r="N46" s="27"/>
      <c r="O46" s="81"/>
      <c r="P46" s="70"/>
      <c r="Q46" s="83"/>
      <c r="R46" s="70"/>
      <c r="S46" s="27"/>
      <c r="T46" s="27"/>
      <c r="U46" s="27"/>
      <c r="V46" s="27"/>
      <c r="W46" s="70"/>
      <c r="X46" s="49"/>
      <c r="Y46" s="27"/>
      <c r="Z46" s="27" t="s">
        <v>73</v>
      </c>
      <c r="AA46" s="27" t="e">
        <f>AVERAGE(AA40,AA41)</f>
        <v>#VALUE!</v>
      </c>
      <c r="AB46" s="27"/>
      <c r="AC46" s="27"/>
      <c r="AD46" s="27"/>
      <c r="AE46" s="27"/>
      <c r="AF46" s="27"/>
      <c r="AG46" s="27"/>
      <c r="AH46" s="27"/>
      <c r="AI46" s="27"/>
      <c r="AJ46" s="27"/>
      <c r="AK46" s="27"/>
      <c r="AL46" s="27"/>
      <c r="AR46" s="1" t="e">
        <f t="shared" si="14"/>
        <v>#VALUE!</v>
      </c>
      <c r="AS46" s="1" t="e">
        <f t="shared" si="14"/>
        <v>#VALUE!</v>
      </c>
    </row>
    <row r="47" spans="1:45" hidden="1">
      <c r="A47" s="27"/>
      <c r="B47" s="74"/>
      <c r="C47" s="74"/>
      <c r="D47" s="74"/>
      <c r="E47" s="74"/>
      <c r="F47" s="84"/>
      <c r="G47" s="76"/>
      <c r="H47" s="77"/>
      <c r="I47" s="78"/>
      <c r="J47" s="79"/>
      <c r="K47" s="80"/>
      <c r="L47" s="81"/>
      <c r="M47" s="82"/>
      <c r="N47" s="27"/>
      <c r="O47" s="81"/>
      <c r="P47" s="70"/>
      <c r="Q47" s="83"/>
      <c r="R47" s="70"/>
      <c r="S47" s="27"/>
      <c r="T47" s="27"/>
      <c r="U47" s="27"/>
      <c r="V47" s="27"/>
      <c r="W47" s="70"/>
      <c r="X47" s="49"/>
      <c r="Y47" s="27"/>
      <c r="Z47" s="27" t="s">
        <v>74</v>
      </c>
      <c r="AA47" s="27" t="e">
        <f>AVERAGE(AA42,AA41)</f>
        <v>#VALUE!</v>
      </c>
      <c r="AB47" s="27"/>
      <c r="AC47" s="27"/>
      <c r="AD47" s="27"/>
      <c r="AE47" s="27"/>
      <c r="AF47" s="27"/>
      <c r="AG47" s="27"/>
      <c r="AH47" s="27"/>
      <c r="AI47" s="27"/>
      <c r="AJ47" s="27"/>
      <c r="AK47" s="27"/>
      <c r="AL47" s="27"/>
      <c r="AR47" s="1">
        <f t="shared" si="14"/>
        <v>0</v>
      </c>
      <c r="AS47" s="1">
        <f t="shared" si="14"/>
        <v>0</v>
      </c>
    </row>
    <row r="48" spans="1:45" hidden="1">
      <c r="A48" s="27"/>
      <c r="B48" s="85" t="s">
        <v>77</v>
      </c>
      <c r="C48" s="85"/>
      <c r="D48" s="85"/>
      <c r="E48" s="85"/>
      <c r="F48" s="120">
        <f>E12</f>
        <v>0.89812210831896933</v>
      </c>
      <c r="G48" s="121"/>
      <c r="H48" s="27"/>
      <c r="I48" s="122" t="e">
        <f>(((G31*N22)+(G32*N23)+(G33*N24)+(G34*N25)+(G35*N26)+(G36*N27)+(G37*N28))/N30)*$E$12</f>
        <v>#DIV/0!</v>
      </c>
      <c r="J48" s="123"/>
      <c r="K48" s="86"/>
      <c r="L48" s="81"/>
      <c r="M48" s="27"/>
      <c r="N48" s="27"/>
      <c r="O48" s="81"/>
      <c r="P48" s="27"/>
      <c r="Q48" s="27"/>
      <c r="R48" s="27"/>
      <c r="S48" s="27"/>
      <c r="T48" s="27"/>
      <c r="U48" s="27"/>
      <c r="V48" s="27"/>
      <c r="W48" s="27"/>
      <c r="X48" s="49"/>
      <c r="Y48" s="27"/>
      <c r="Z48" s="27"/>
      <c r="AA48" s="27"/>
      <c r="AB48" s="27"/>
      <c r="AC48" s="27"/>
      <c r="AD48" s="27"/>
      <c r="AE48" s="27"/>
      <c r="AF48" s="27"/>
      <c r="AG48" s="27"/>
      <c r="AH48" s="27"/>
      <c r="AI48" s="27"/>
      <c r="AJ48" s="27"/>
      <c r="AK48" s="27"/>
      <c r="AL48" s="27"/>
      <c r="AR48" s="1">
        <f t="shared" si="14"/>
        <v>0</v>
      </c>
      <c r="AS48" s="1">
        <f t="shared" si="14"/>
        <v>0</v>
      </c>
    </row>
    <row r="49" spans="1:38" hidden="1">
      <c r="A49" s="27"/>
      <c r="B49" s="85"/>
      <c r="C49" s="85"/>
      <c r="D49" s="85"/>
      <c r="E49" s="85"/>
      <c r="F49" s="87"/>
      <c r="G49" s="88"/>
      <c r="H49" s="27"/>
      <c r="I49" s="87"/>
      <c r="J49" s="88"/>
      <c r="K49" s="80"/>
      <c r="L49" s="81"/>
      <c r="M49" s="27"/>
      <c r="N49" s="27"/>
      <c r="O49" s="81"/>
      <c r="P49" s="27"/>
      <c r="Q49" s="27"/>
      <c r="R49" s="27"/>
      <c r="S49" s="27"/>
      <c r="T49" s="27"/>
      <c r="U49" s="27"/>
      <c r="V49" s="27"/>
      <c r="W49" s="27"/>
      <c r="X49" s="49"/>
      <c r="Y49" s="27"/>
      <c r="Z49" s="27" t="s">
        <v>82</v>
      </c>
      <c r="AA49" s="27"/>
      <c r="AB49" s="27"/>
      <c r="AC49" s="27"/>
      <c r="AD49" s="27"/>
      <c r="AE49" s="27"/>
      <c r="AF49" s="27"/>
      <c r="AG49" s="27"/>
      <c r="AH49" s="27"/>
      <c r="AI49" s="27"/>
      <c r="AJ49" s="27"/>
      <c r="AK49" s="27"/>
      <c r="AL49" s="27"/>
    </row>
    <row r="50" spans="1:38">
      <c r="A50" s="27"/>
      <c r="B50" s="85"/>
      <c r="C50" s="85"/>
      <c r="D50" s="85"/>
      <c r="E50" s="85"/>
      <c r="F50" s="87"/>
      <c r="G50" s="88"/>
      <c r="H50" s="27"/>
      <c r="I50" s="87"/>
      <c r="J50" s="88"/>
      <c r="K50" s="80"/>
      <c r="L50" s="81"/>
      <c r="M50" s="27"/>
      <c r="N50" s="27"/>
      <c r="O50" s="81"/>
      <c r="P50" s="27"/>
      <c r="Q50" s="27"/>
      <c r="R50" s="27"/>
      <c r="S50" s="27"/>
      <c r="T50" s="27"/>
      <c r="U50" s="27"/>
      <c r="V50" s="27"/>
      <c r="W50" s="27"/>
      <c r="X50" s="49"/>
      <c r="Y50" s="27"/>
      <c r="Z50" s="27"/>
      <c r="AA50" s="27"/>
      <c r="AB50" s="27"/>
      <c r="AC50" s="27"/>
      <c r="AD50" s="27"/>
      <c r="AE50" s="27"/>
      <c r="AF50" s="27"/>
      <c r="AG50" s="27"/>
      <c r="AH50" s="27"/>
      <c r="AI50" s="27"/>
      <c r="AJ50" s="27"/>
      <c r="AK50" s="27"/>
      <c r="AL50" s="27"/>
    </row>
    <row r="51" spans="1:38" ht="15" thickBot="1">
      <c r="A51" s="27"/>
      <c r="B51" s="28" t="s">
        <v>19</v>
      </c>
      <c r="C51" s="28"/>
      <c r="D51" s="28"/>
      <c r="E51" s="28"/>
      <c r="F51" s="124"/>
      <c r="G51" s="125"/>
      <c r="H51" s="29"/>
      <c r="I51" s="126"/>
      <c r="J51" s="127"/>
      <c r="K51" s="89"/>
      <c r="L51" s="81"/>
      <c r="M51" s="27"/>
      <c r="N51" s="27"/>
      <c r="O51" s="81"/>
      <c r="P51" s="27"/>
      <c r="Q51" s="27"/>
      <c r="R51" s="27"/>
      <c r="S51" s="27"/>
      <c r="T51" s="27"/>
      <c r="U51" s="27"/>
      <c r="V51" s="27"/>
      <c r="W51" s="27"/>
      <c r="X51" s="27"/>
      <c r="Y51" s="27"/>
      <c r="Z51" s="27" t="s">
        <v>56</v>
      </c>
      <c r="AA51" s="27" t="e">
        <f>((0.000031*X26^2)-(0.0176*X26)+4.5523)</f>
        <v>#VALUE!</v>
      </c>
      <c r="AB51" s="27"/>
      <c r="AC51" s="27"/>
      <c r="AD51" s="27"/>
      <c r="AE51" s="27"/>
      <c r="AF51" s="27"/>
      <c r="AG51" s="27"/>
      <c r="AH51" s="27"/>
      <c r="AI51" s="27"/>
      <c r="AJ51" s="27"/>
      <c r="AK51" s="27"/>
      <c r="AL51" s="27"/>
    </row>
    <row r="52" spans="1:38">
      <c r="A52" s="27"/>
      <c r="B52" s="90" t="s">
        <v>3</v>
      </c>
      <c r="C52" s="90"/>
      <c r="D52" s="90"/>
      <c r="E52" s="90"/>
      <c r="F52" s="128" t="str">
        <f>IF(G22&gt;0,100%," ")</f>
        <v xml:space="preserve"> </v>
      </c>
      <c r="G52" s="129"/>
      <c r="H52" s="91"/>
      <c r="I52" s="128" t="str">
        <f>IF(G22&gt;0,(I48/MAX($F$48:$J$48))," ")</f>
        <v xml:space="preserve"> </v>
      </c>
      <c r="J52" s="129"/>
      <c r="K52" s="92"/>
      <c r="L52" s="93"/>
      <c r="M52" s="54"/>
      <c r="N52" s="54"/>
      <c r="O52" s="93"/>
      <c r="P52" s="54"/>
      <c r="Q52" s="54"/>
      <c r="R52" s="54"/>
      <c r="S52" s="54"/>
      <c r="T52" s="54"/>
      <c r="U52" s="54"/>
      <c r="V52" s="54"/>
      <c r="W52" s="27"/>
      <c r="X52" s="27"/>
      <c r="Y52" s="27"/>
      <c r="Z52" s="27" t="s">
        <v>55</v>
      </c>
      <c r="AA52" s="27" t="e">
        <f>((0.000043*X26^2)-(0.02154*X26)+4.9538)</f>
        <v>#VALUE!</v>
      </c>
      <c r="AB52" s="27"/>
      <c r="AC52" s="27"/>
      <c r="AD52" s="27"/>
      <c r="AE52" s="27"/>
      <c r="AF52" s="27"/>
      <c r="AG52" s="27"/>
      <c r="AH52" s="27"/>
      <c r="AI52" s="27"/>
      <c r="AJ52" s="27"/>
      <c r="AK52" s="27"/>
      <c r="AL52" s="27"/>
    </row>
    <row r="53" spans="1:38" hidden="1">
      <c r="A53" s="27"/>
      <c r="B53" s="90" t="s">
        <v>12</v>
      </c>
      <c r="C53" s="90"/>
      <c r="D53" s="90"/>
      <c r="E53" s="90"/>
      <c r="F53" s="130" t="e">
        <f>E13*F55</f>
        <v>#VALUE!</v>
      </c>
      <c r="G53" s="131"/>
      <c r="H53" s="91"/>
      <c r="I53" s="132" t="s">
        <v>14</v>
      </c>
      <c r="J53" s="133"/>
      <c r="K53" s="92"/>
      <c r="L53" s="93"/>
      <c r="M53" s="54"/>
      <c r="N53" s="54"/>
      <c r="O53" s="93"/>
      <c r="P53" s="54"/>
      <c r="Q53" s="54"/>
      <c r="R53" s="54"/>
      <c r="S53" s="54"/>
      <c r="T53" s="54"/>
      <c r="U53" s="54"/>
      <c r="V53" s="54"/>
      <c r="W53" s="27"/>
      <c r="X53" s="27"/>
      <c r="Y53" s="27"/>
      <c r="Z53" s="27" t="s">
        <v>72</v>
      </c>
      <c r="AA53" s="27" t="e">
        <f>IF(AA51*((0.0023*M26)+0.9644)&lt;AA52,AA52,AA51*((0.0023*M26)+0.9644))</f>
        <v>#VALUE!</v>
      </c>
      <c r="AB53" s="27"/>
      <c r="AC53" s="27"/>
      <c r="AD53" s="27"/>
      <c r="AE53" s="27"/>
      <c r="AF53" s="27"/>
      <c r="AG53" s="27"/>
      <c r="AH53" s="27"/>
      <c r="AI53" s="27"/>
      <c r="AJ53" s="27"/>
      <c r="AK53" s="27"/>
      <c r="AL53" s="27"/>
    </row>
    <row r="54" spans="1:38" hidden="1">
      <c r="A54" s="27"/>
      <c r="B54" s="90" t="s">
        <v>13</v>
      </c>
      <c r="C54" s="90"/>
      <c r="D54" s="90"/>
      <c r="E54" s="90"/>
      <c r="F54" s="130">
        <f>E13</f>
        <v>2.6</v>
      </c>
      <c r="G54" s="131"/>
      <c r="H54" s="91"/>
      <c r="I54" s="134" t="e">
        <f>$E$13/(((G38*N22)+(G39*N23)+(G40*N24)+(G41*N25)+(G42*N26)+(G43*N27)+(G44*N28))/N30)</f>
        <v>#DIV/0!</v>
      </c>
      <c r="J54" s="135"/>
      <c r="K54" s="92"/>
      <c r="L54" s="93"/>
      <c r="M54" s="54"/>
      <c r="N54" s="54"/>
      <c r="O54" s="93"/>
      <c r="P54" s="54"/>
      <c r="Q54" s="54"/>
      <c r="R54" s="54"/>
      <c r="S54" s="54"/>
      <c r="T54" s="54"/>
      <c r="U54" s="54"/>
      <c r="V54" s="54"/>
      <c r="W54" s="27"/>
      <c r="X54" s="27"/>
      <c r="Y54" s="27"/>
      <c r="Z54" s="27" t="s">
        <v>73</v>
      </c>
      <c r="AA54" s="27" t="e">
        <f>AVERAGE(AA51,AA52)</f>
        <v>#VALUE!</v>
      </c>
      <c r="AB54" s="27"/>
      <c r="AC54" s="27"/>
      <c r="AD54" s="27"/>
      <c r="AE54" s="27"/>
      <c r="AF54" s="27"/>
      <c r="AG54" s="27"/>
      <c r="AH54" s="27"/>
      <c r="AI54" s="27"/>
      <c r="AJ54" s="27"/>
      <c r="AK54" s="27"/>
      <c r="AL54" s="27"/>
    </row>
    <row r="55" spans="1:38">
      <c r="A55" s="27"/>
      <c r="B55" s="90" t="s">
        <v>15</v>
      </c>
      <c r="C55" s="90"/>
      <c r="D55" s="90"/>
      <c r="E55" s="90"/>
      <c r="F55" s="128" t="str">
        <f>IF(G22&gt;0,98.7%," ")</f>
        <v xml:space="preserve"> </v>
      </c>
      <c r="G55" s="129"/>
      <c r="H55" s="91"/>
      <c r="I55" s="128" t="str">
        <f>IF(G22&gt;0,(MIN($F$53:$J$53)/I54)," ")</f>
        <v xml:space="preserve"> </v>
      </c>
      <c r="J55" s="129"/>
      <c r="K55" s="92"/>
      <c r="L55" s="93"/>
      <c r="M55" s="54"/>
      <c r="N55" s="54"/>
      <c r="O55" s="93"/>
      <c r="P55" s="54"/>
      <c r="Q55" s="54"/>
      <c r="R55" s="54"/>
      <c r="S55" s="54"/>
      <c r="T55" s="54"/>
      <c r="U55" s="54"/>
      <c r="V55" s="54"/>
      <c r="W55" s="27"/>
      <c r="X55" s="27"/>
      <c r="Y55" s="27"/>
      <c r="Z55" s="27" t="s">
        <v>74</v>
      </c>
      <c r="AA55" s="27" t="e">
        <f>AVERAGE(AA53,AA52)</f>
        <v>#VALUE!</v>
      </c>
      <c r="AB55" s="27"/>
      <c r="AC55" s="27"/>
      <c r="AD55" s="27"/>
      <c r="AE55" s="27"/>
      <c r="AF55" s="27"/>
      <c r="AG55" s="27"/>
      <c r="AH55" s="27"/>
      <c r="AI55" s="27"/>
      <c r="AJ55" s="27"/>
      <c r="AK55" s="27"/>
      <c r="AL55" s="27"/>
    </row>
    <row r="56" spans="1:38" hidden="1">
      <c r="A56" s="27"/>
      <c r="B56" s="94" t="s">
        <v>76</v>
      </c>
      <c r="C56" s="94"/>
      <c r="D56" s="94"/>
      <c r="E56" s="94"/>
      <c r="F56" s="136" t="e">
        <f>S31</f>
        <v>#DIV/0!</v>
      </c>
      <c r="G56" s="137"/>
      <c r="H56" s="91"/>
      <c r="I56" s="136" t="e">
        <f>T31</f>
        <v>#DIV/0!</v>
      </c>
      <c r="J56" s="137"/>
      <c r="K56" s="54"/>
      <c r="L56" s="93"/>
      <c r="M56" s="54"/>
      <c r="N56" s="54"/>
      <c r="O56" s="93"/>
      <c r="P56" s="54"/>
      <c r="Q56" s="54"/>
      <c r="R56" s="54"/>
      <c r="S56" s="54"/>
      <c r="T56" s="54"/>
      <c r="U56" s="54"/>
      <c r="V56" s="54"/>
      <c r="W56" s="27"/>
      <c r="X56" s="27"/>
      <c r="Y56" s="27"/>
      <c r="Z56" s="27"/>
      <c r="AA56" s="27"/>
      <c r="AB56" s="27"/>
      <c r="AC56" s="27"/>
      <c r="AD56" s="27"/>
      <c r="AE56" s="27"/>
      <c r="AF56" s="27"/>
      <c r="AG56" s="27"/>
      <c r="AH56" s="27"/>
      <c r="AI56" s="27"/>
      <c r="AJ56" s="27"/>
      <c r="AK56" s="27"/>
      <c r="AL56" s="27"/>
    </row>
    <row r="57" spans="1:38" hidden="1">
      <c r="A57" s="27"/>
      <c r="B57" s="95" t="s">
        <v>2</v>
      </c>
      <c r="C57" s="95"/>
      <c r="D57" s="95"/>
      <c r="E57" s="95"/>
      <c r="F57" s="138" t="e">
        <f>(F48*115*$E$15)-(F56*F48*115)</f>
        <v>#DIV/0!</v>
      </c>
      <c r="G57" s="139"/>
      <c r="H57" s="91"/>
      <c r="I57" s="138" t="e">
        <f>(I48*115*$E$15)-(I56*I48*115)</f>
        <v>#DIV/0!</v>
      </c>
      <c r="J57" s="139"/>
      <c r="K57" s="96" t="e">
        <f>F57-I57</f>
        <v>#DIV/0!</v>
      </c>
      <c r="L57" s="93"/>
      <c r="M57" s="54"/>
      <c r="N57" s="54"/>
      <c r="O57" s="93"/>
      <c r="P57" s="54"/>
      <c r="Q57" s="54"/>
      <c r="R57" s="54"/>
      <c r="S57" s="54"/>
      <c r="T57" s="54"/>
      <c r="U57" s="54"/>
      <c r="V57" s="54"/>
      <c r="W57" s="27"/>
      <c r="X57" s="27"/>
      <c r="Y57" s="27"/>
      <c r="Z57" s="27" t="s">
        <v>85</v>
      </c>
      <c r="AA57" s="27"/>
      <c r="AB57" s="27"/>
      <c r="AC57" s="27"/>
      <c r="AD57" s="27"/>
      <c r="AE57" s="27"/>
      <c r="AF57" s="27"/>
      <c r="AG57" s="27"/>
      <c r="AH57" s="27"/>
      <c r="AI57" s="27"/>
      <c r="AJ57" s="27"/>
      <c r="AK57" s="27"/>
      <c r="AL57" s="27"/>
    </row>
    <row r="58" spans="1:38" hidden="1">
      <c r="A58" s="27"/>
      <c r="B58" s="90" t="s">
        <v>5</v>
      </c>
      <c r="C58" s="90"/>
      <c r="D58" s="90"/>
      <c r="E58" s="90"/>
      <c r="F58" s="138" t="e">
        <f>(104*$E$15)-(F56*104)-(104/F48*$E$17)</f>
        <v>#DIV/0!</v>
      </c>
      <c r="G58" s="139"/>
      <c r="H58" s="91"/>
      <c r="I58" s="138" t="e">
        <f>(104*$E$15)-(I56*104)-(104/I48*$E$17)</f>
        <v>#DIV/0!</v>
      </c>
      <c r="J58" s="139"/>
      <c r="K58" s="96" t="e">
        <f>F58-I58</f>
        <v>#DIV/0!</v>
      </c>
      <c r="L58" s="93"/>
      <c r="M58" s="54"/>
      <c r="N58" s="54"/>
      <c r="O58" s="93"/>
      <c r="P58" s="54"/>
      <c r="Q58" s="54"/>
      <c r="R58" s="54"/>
      <c r="S58" s="54"/>
      <c r="T58" s="54"/>
      <c r="U58" s="54"/>
      <c r="V58" s="54"/>
      <c r="W58" s="27"/>
      <c r="X58" s="27"/>
      <c r="Y58" s="27"/>
      <c r="Z58" s="27" t="s">
        <v>56</v>
      </c>
      <c r="AA58" s="27" t="e">
        <f>((0.000031*X27^2)-(0.0176*X27)+4.5523)</f>
        <v>#VALUE!</v>
      </c>
      <c r="AB58" s="27"/>
      <c r="AC58" s="27"/>
      <c r="AD58" s="27"/>
      <c r="AE58" s="27"/>
      <c r="AF58" s="27"/>
      <c r="AG58" s="27"/>
      <c r="AH58" s="27"/>
      <c r="AI58" s="27"/>
      <c r="AJ58" s="27"/>
      <c r="AK58" s="27"/>
      <c r="AL58" s="27"/>
    </row>
    <row r="59" spans="1:38" hidden="1">
      <c r="A59" s="27"/>
      <c r="B59" s="97" t="s">
        <v>10</v>
      </c>
      <c r="C59" s="97"/>
      <c r="D59" s="97"/>
      <c r="E59" s="97"/>
      <c r="F59" s="141" t="e">
        <f>(((($E$15)-((1/((F48*115)+23))*((F56*115*F48)+$E$18+$E$16)))))*1000/(1000/(F48*115))</f>
        <v>#DIV/0!</v>
      </c>
      <c r="G59" s="142"/>
      <c r="H59" s="91"/>
      <c r="I59" s="141" t="e">
        <f>(((($E$15)-((1/((I48*115)+23))*((I56*115*I48)+$E$18+$E$16)))))*1000/(1000/(I48*115))</f>
        <v>#DIV/0!</v>
      </c>
      <c r="J59" s="142"/>
      <c r="K59" s="96" t="e">
        <f>F59-I59</f>
        <v>#DIV/0!</v>
      </c>
      <c r="L59" s="98"/>
      <c r="M59" s="98"/>
      <c r="N59" s="98"/>
      <c r="O59" s="98"/>
      <c r="P59" s="98"/>
      <c r="Q59" s="54"/>
      <c r="R59" s="54"/>
      <c r="S59" s="54"/>
      <c r="T59" s="54"/>
      <c r="U59" s="54"/>
      <c r="V59" s="54"/>
      <c r="W59" s="27"/>
      <c r="X59" s="27"/>
      <c r="Y59" s="27"/>
      <c r="Z59" s="27" t="s">
        <v>55</v>
      </c>
      <c r="AA59" s="27" t="e">
        <f>((0.000043*X27^2)-(0.02154*X27)+4.9538)</f>
        <v>#VALUE!</v>
      </c>
      <c r="AB59" s="27"/>
      <c r="AC59" s="27"/>
      <c r="AD59" s="27"/>
      <c r="AE59" s="27"/>
      <c r="AF59" s="27"/>
      <c r="AG59" s="27"/>
      <c r="AH59" s="27"/>
      <c r="AI59" s="27"/>
      <c r="AJ59" s="27"/>
      <c r="AK59" s="27"/>
      <c r="AL59" s="27"/>
    </row>
    <row r="60" spans="1:38" hidden="1">
      <c r="A60" s="27"/>
      <c r="B60" s="97" t="s">
        <v>11</v>
      </c>
      <c r="C60" s="97"/>
      <c r="D60" s="97"/>
      <c r="E60" s="97"/>
      <c r="F60" s="141" t="e">
        <f>(((($E$15)-((1/(F48*(104/F48)))*((F56*(104/F48)*F48)+$E$18+$E$16+(104/F48*$E$17))))*1000/(1000/104)))</f>
        <v>#DIV/0!</v>
      </c>
      <c r="G60" s="142"/>
      <c r="H60" s="91"/>
      <c r="I60" s="141" t="e">
        <f>(((($E$15)-((1/(I48*(104/I48)))*((I56*(104/I48)*I48)+$E$18+$E$16+(104/I48*$E$17))))*1000/(1000/104)))</f>
        <v>#DIV/0!</v>
      </c>
      <c r="J60" s="142"/>
      <c r="K60" s="96" t="e">
        <f>F60-I60</f>
        <v>#DIV/0!</v>
      </c>
      <c r="L60" s="98"/>
      <c r="M60" s="98"/>
      <c r="N60" s="98"/>
      <c r="O60" s="98"/>
      <c r="P60" s="98"/>
      <c r="Q60" s="54"/>
      <c r="R60" s="54"/>
      <c r="S60" s="54"/>
      <c r="T60" s="54"/>
      <c r="U60" s="54"/>
      <c r="V60" s="54"/>
      <c r="W60" s="27"/>
      <c r="X60" s="27"/>
      <c r="Y60" s="27"/>
      <c r="Z60" s="27" t="s">
        <v>72</v>
      </c>
      <c r="AA60" s="27" t="e">
        <f>IF(AA58*((0.0023*M27)+0.9644)&lt;AA59,AA59,AA58*((0.0023*M27)+0.9644))</f>
        <v>#VALUE!</v>
      </c>
      <c r="AB60" s="27"/>
      <c r="AC60" s="27"/>
      <c r="AD60" s="27"/>
      <c r="AE60" s="27"/>
      <c r="AF60" s="27"/>
      <c r="AG60" s="27"/>
      <c r="AH60" s="27"/>
      <c r="AI60" s="27"/>
      <c r="AJ60" s="27"/>
      <c r="AK60" s="27"/>
      <c r="AL60" s="27"/>
    </row>
    <row r="61" spans="1:38">
      <c r="A61" s="27"/>
      <c r="B61" s="90"/>
      <c r="C61" s="90"/>
      <c r="D61" s="90"/>
      <c r="E61" s="90"/>
      <c r="F61" s="99"/>
      <c r="G61" s="100"/>
      <c r="H61" s="91"/>
      <c r="I61" s="143"/>
      <c r="J61" s="144"/>
      <c r="K61" s="54"/>
      <c r="L61" s="93"/>
      <c r="M61" s="54"/>
      <c r="N61" s="54"/>
      <c r="O61" s="93"/>
      <c r="P61" s="54"/>
      <c r="Q61" s="54"/>
      <c r="R61" s="54"/>
      <c r="S61" s="54"/>
      <c r="T61" s="54"/>
      <c r="U61" s="54"/>
      <c r="V61" s="54"/>
      <c r="W61" s="27"/>
      <c r="X61" s="27"/>
      <c r="Y61" s="27"/>
      <c r="Z61" s="27" t="s">
        <v>73</v>
      </c>
      <c r="AA61" s="27" t="e">
        <f>AVERAGE(AA58,AA59)</f>
        <v>#VALUE!</v>
      </c>
      <c r="AB61" s="27"/>
      <c r="AC61" s="27"/>
      <c r="AD61" s="27"/>
      <c r="AE61" s="27"/>
      <c r="AF61" s="27"/>
      <c r="AG61" s="27"/>
      <c r="AH61" s="27"/>
      <c r="AI61" s="27"/>
      <c r="AJ61" s="27"/>
      <c r="AK61" s="27"/>
      <c r="AL61" s="27"/>
    </row>
    <row r="62" spans="1:38">
      <c r="A62" s="27"/>
      <c r="B62" s="91" t="s">
        <v>70</v>
      </c>
      <c r="C62" s="91"/>
      <c r="D62" s="91"/>
      <c r="E62" s="91"/>
      <c r="F62" s="101"/>
      <c r="G62" s="102"/>
      <c r="H62" s="103"/>
      <c r="I62" s="104"/>
      <c r="J62" s="102"/>
      <c r="K62" s="54"/>
      <c r="L62" s="54"/>
      <c r="M62" s="54"/>
      <c r="N62" s="54"/>
      <c r="O62" s="54"/>
      <c r="P62" s="54"/>
      <c r="Q62" s="54"/>
      <c r="R62" s="54"/>
      <c r="S62" s="54"/>
      <c r="T62" s="54"/>
      <c r="U62" s="54"/>
      <c r="V62" s="54"/>
      <c r="W62" s="54"/>
      <c r="X62" s="54"/>
      <c r="Y62" s="54"/>
      <c r="Z62" s="27" t="s">
        <v>74</v>
      </c>
      <c r="AA62" s="27" t="e">
        <f>AVERAGE(AA60,AA59)</f>
        <v>#VALUE!</v>
      </c>
      <c r="AB62" s="54"/>
      <c r="AC62" s="54"/>
      <c r="AD62" s="27"/>
      <c r="AE62" s="27"/>
      <c r="AF62" s="27"/>
      <c r="AG62" s="27"/>
      <c r="AH62" s="27"/>
      <c r="AI62" s="27"/>
      <c r="AJ62" s="27"/>
      <c r="AK62" s="27"/>
      <c r="AL62" s="27"/>
    </row>
    <row r="63" spans="1:38">
      <c r="A63" s="27"/>
      <c r="B63" s="91" t="s">
        <v>20</v>
      </c>
      <c r="C63" s="91"/>
      <c r="D63" s="91"/>
      <c r="E63" s="91"/>
      <c r="F63" s="145" t="str">
        <f>IF(G22&gt;0,(F59-I59)," ")</f>
        <v xml:space="preserve"> </v>
      </c>
      <c r="G63" s="146"/>
      <c r="H63" s="105"/>
      <c r="I63" s="145" t="str">
        <f>IF(G22&gt;0,(I59-F59)," ")</f>
        <v xml:space="preserve"> </v>
      </c>
      <c r="J63" s="146"/>
      <c r="K63" s="54"/>
      <c r="L63" s="106"/>
      <c r="M63" s="54"/>
      <c r="N63" s="54"/>
      <c r="O63" s="54"/>
      <c r="P63" s="54"/>
      <c r="Q63" s="54"/>
      <c r="R63" s="54"/>
      <c r="S63" s="54"/>
      <c r="T63" s="54"/>
      <c r="U63" s="54"/>
      <c r="V63" s="54"/>
      <c r="W63" s="54"/>
      <c r="X63" s="54"/>
      <c r="Y63" s="54"/>
      <c r="Z63" s="54"/>
      <c r="AA63" s="54"/>
      <c r="AB63" s="54"/>
      <c r="AC63" s="54"/>
      <c r="AD63" s="27"/>
      <c r="AE63" s="27"/>
      <c r="AF63" s="27"/>
      <c r="AG63" s="27"/>
      <c r="AH63" s="27"/>
      <c r="AI63" s="27"/>
      <c r="AJ63" s="27"/>
      <c r="AK63" s="27"/>
      <c r="AL63" s="27"/>
    </row>
    <row r="64" spans="1:38" ht="15" thickBot="1">
      <c r="A64" s="27"/>
      <c r="B64" s="107" t="s">
        <v>21</v>
      </c>
      <c r="C64" s="108"/>
      <c r="D64" s="108"/>
      <c r="E64" s="108"/>
      <c r="F64" s="147" t="str">
        <f>IF(G22&gt;0,(F60-I60)," ")</f>
        <v xml:space="preserve"> </v>
      </c>
      <c r="G64" s="148"/>
      <c r="H64" s="109"/>
      <c r="I64" s="147" t="str">
        <f>IF(G22&gt;0,(I60-F60)," ")</f>
        <v xml:space="preserve"> </v>
      </c>
      <c r="J64" s="148"/>
      <c r="K64" s="110"/>
      <c r="L64" s="54"/>
      <c r="M64" s="54"/>
      <c r="N64" s="54"/>
      <c r="O64" s="54"/>
      <c r="P64" s="54"/>
      <c r="Q64" s="54"/>
      <c r="R64" s="54"/>
      <c r="S64" s="54"/>
      <c r="T64" s="54"/>
      <c r="U64" s="54"/>
      <c r="V64" s="54"/>
      <c r="W64" s="54"/>
      <c r="X64" s="54"/>
      <c r="Y64" s="54"/>
      <c r="Z64" s="27" t="s">
        <v>86</v>
      </c>
      <c r="AA64" s="27"/>
      <c r="AB64" s="54"/>
      <c r="AC64" s="54"/>
      <c r="AD64" s="27"/>
      <c r="AE64" s="27"/>
      <c r="AF64" s="27"/>
      <c r="AG64" s="27"/>
      <c r="AH64" s="27"/>
      <c r="AI64" s="54"/>
      <c r="AJ64" s="27"/>
      <c r="AK64" s="27"/>
      <c r="AL64" s="27"/>
    </row>
    <row r="65" spans="1:38">
      <c r="A65" s="27"/>
      <c r="B65" s="111"/>
      <c r="C65" s="111"/>
      <c r="D65" s="111"/>
      <c r="E65" s="111"/>
      <c r="F65" s="112"/>
      <c r="G65" s="113"/>
      <c r="H65" s="114"/>
      <c r="I65" s="113"/>
      <c r="J65" s="113"/>
      <c r="K65" s="54"/>
      <c r="L65" s="54"/>
      <c r="M65" s="54"/>
      <c r="N65" s="54"/>
      <c r="O65" s="54"/>
      <c r="P65" s="54"/>
      <c r="Q65" s="54"/>
      <c r="R65" s="54"/>
      <c r="S65" s="54"/>
      <c r="T65" s="54"/>
      <c r="U65" s="54"/>
      <c r="V65" s="54"/>
      <c r="W65" s="54"/>
      <c r="X65" s="54"/>
      <c r="Y65" s="54"/>
      <c r="Z65" s="27" t="s">
        <v>56</v>
      </c>
      <c r="AA65" s="27" t="e">
        <f>((0.000031*X28^2)-(0.0176*X28)+4.5523)</f>
        <v>#VALUE!</v>
      </c>
      <c r="AB65" s="54"/>
      <c r="AC65" s="54"/>
      <c r="AD65" s="27"/>
      <c r="AE65" s="27"/>
      <c r="AF65" s="27"/>
      <c r="AG65" s="27"/>
      <c r="AH65" s="27"/>
      <c r="AI65" s="27"/>
      <c r="AJ65" s="27"/>
      <c r="AK65" s="27"/>
      <c r="AL65" s="27"/>
    </row>
    <row r="66" spans="1:38">
      <c r="A66" s="27"/>
      <c r="B66" s="140" t="s">
        <v>94</v>
      </c>
      <c r="C66" s="140"/>
      <c r="D66" s="140"/>
      <c r="E66" s="140"/>
      <c r="F66" s="140"/>
      <c r="G66" s="140"/>
      <c r="H66" s="140"/>
      <c r="I66" s="140"/>
      <c r="J66" s="140"/>
      <c r="K66" s="27"/>
      <c r="L66" s="27"/>
      <c r="M66" s="27"/>
      <c r="N66" s="27"/>
      <c r="O66" s="27"/>
      <c r="P66" s="27"/>
      <c r="Q66" s="27"/>
      <c r="R66" s="27"/>
      <c r="S66" s="27"/>
      <c r="T66" s="54"/>
      <c r="U66" s="54"/>
      <c r="V66" s="54"/>
      <c r="W66" s="54"/>
      <c r="X66" s="54"/>
      <c r="Y66" s="54"/>
      <c r="Z66" s="27" t="s">
        <v>55</v>
      </c>
      <c r="AA66" s="27" t="e">
        <f>((0.000043*X28^2)-(0.02154*X28)+4.9538)</f>
        <v>#VALUE!</v>
      </c>
      <c r="AB66" s="54"/>
      <c r="AC66" s="54"/>
      <c r="AD66" s="27"/>
      <c r="AE66" s="27"/>
      <c r="AF66" s="27"/>
      <c r="AG66" s="27"/>
      <c r="AH66" s="27"/>
      <c r="AI66" s="27"/>
      <c r="AJ66" s="27"/>
      <c r="AK66" s="27"/>
      <c r="AL66" s="27"/>
    </row>
    <row r="67" spans="1:38">
      <c r="A67" s="27"/>
      <c r="B67" s="140"/>
      <c r="C67" s="140"/>
      <c r="D67" s="140"/>
      <c r="E67" s="140"/>
      <c r="F67" s="140"/>
      <c r="G67" s="140"/>
      <c r="H67" s="140"/>
      <c r="I67" s="140"/>
      <c r="J67" s="140"/>
      <c r="K67" s="27"/>
      <c r="L67" s="27"/>
      <c r="M67" s="27"/>
      <c r="N67" s="27"/>
      <c r="O67" s="27"/>
      <c r="P67" s="27"/>
      <c r="Q67" s="27"/>
      <c r="R67" s="27"/>
      <c r="S67" s="27"/>
      <c r="T67" s="27"/>
      <c r="U67" s="27"/>
      <c r="V67" s="27"/>
      <c r="W67" s="27"/>
      <c r="X67" s="27"/>
      <c r="Y67" s="27"/>
      <c r="Z67" s="27" t="s">
        <v>72</v>
      </c>
      <c r="AA67" s="27" t="e">
        <f>IF(AA65*((0.0023*M28)+0.9644)&lt;AA66,AA66,AA65*((0.0023*M28)+0.9644))</f>
        <v>#VALUE!</v>
      </c>
      <c r="AB67" s="27"/>
      <c r="AC67" s="27"/>
      <c r="AD67" s="27"/>
      <c r="AE67" s="27"/>
      <c r="AF67" s="27"/>
      <c r="AG67" s="27"/>
      <c r="AH67" s="27"/>
      <c r="AI67" s="27"/>
      <c r="AJ67" s="27"/>
      <c r="AK67" s="27"/>
      <c r="AL67" s="27"/>
    </row>
    <row r="68" spans="1:38">
      <c r="A68" s="27"/>
      <c r="B68" s="140"/>
      <c r="C68" s="140"/>
      <c r="D68" s="140"/>
      <c r="E68" s="140"/>
      <c r="F68" s="140"/>
      <c r="G68" s="140"/>
      <c r="H68" s="140"/>
      <c r="I68" s="140"/>
      <c r="J68" s="140"/>
      <c r="K68" s="27"/>
      <c r="L68" s="27"/>
      <c r="M68" s="27"/>
      <c r="N68" s="27"/>
      <c r="O68" s="27"/>
      <c r="P68" s="27"/>
      <c r="Q68" s="27"/>
      <c r="R68" s="27"/>
      <c r="S68" s="27"/>
      <c r="T68" s="27"/>
      <c r="U68" s="27"/>
      <c r="V68" s="27"/>
      <c r="W68" s="27"/>
      <c r="X68" s="27"/>
      <c r="Y68" s="27"/>
      <c r="Z68" s="27" t="s">
        <v>73</v>
      </c>
      <c r="AA68" s="27" t="e">
        <f>AVERAGE(AA65,AA66)</f>
        <v>#VALUE!</v>
      </c>
      <c r="AB68" s="27"/>
      <c r="AC68" s="27"/>
      <c r="AD68" s="27"/>
      <c r="AE68" s="27"/>
      <c r="AF68" s="27"/>
      <c r="AG68" s="27"/>
      <c r="AH68" s="27"/>
      <c r="AI68" s="27"/>
      <c r="AJ68" s="27"/>
      <c r="AK68" s="27"/>
      <c r="AL68" s="27"/>
    </row>
    <row r="69" spans="1:38" ht="30.6" customHeight="1">
      <c r="A69" s="27"/>
      <c r="B69" s="140"/>
      <c r="C69" s="140"/>
      <c r="D69" s="140"/>
      <c r="E69" s="140"/>
      <c r="F69" s="140"/>
      <c r="G69" s="140"/>
      <c r="H69" s="140"/>
      <c r="I69" s="140"/>
      <c r="J69" s="140"/>
      <c r="K69" s="27"/>
      <c r="L69" s="27"/>
      <c r="M69" s="27"/>
      <c r="N69" s="27"/>
      <c r="O69" s="27"/>
      <c r="P69" s="27"/>
      <c r="Q69" s="27"/>
      <c r="R69" s="27"/>
      <c r="S69" s="27"/>
      <c r="T69" s="27"/>
      <c r="U69" s="27"/>
      <c r="V69" s="27"/>
      <c r="W69" s="27"/>
      <c r="X69" s="27"/>
      <c r="Y69" s="27"/>
      <c r="Z69" s="27" t="s">
        <v>74</v>
      </c>
      <c r="AA69" s="27" t="e">
        <f>AVERAGE(AA67,AA66)</f>
        <v>#VALUE!</v>
      </c>
      <c r="AB69" s="27"/>
      <c r="AC69" s="27"/>
      <c r="AD69" s="27"/>
      <c r="AE69" s="27"/>
      <c r="AF69" s="27"/>
      <c r="AG69" s="27"/>
      <c r="AH69" s="27"/>
      <c r="AI69" s="27"/>
      <c r="AJ69" s="27"/>
      <c r="AK69" s="27"/>
      <c r="AL69" s="27"/>
    </row>
    <row r="70" spans="1:38">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1:38">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2" spans="1:38">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row>
    <row r="76" spans="1:38">
      <c r="F76" s="1" t="s">
        <v>4</v>
      </c>
    </row>
  </sheetData>
  <sheetProtection algorithmName="SHA-512" hashValue="uqzrc071KlZOykIGyiP8VdodNcz1AS87JgqgNFE0HIU8U+TdpRbzp5l8U5efgbJgn9V7ZYt/shMXcffWI97MgA==" saltValue="mbFfyoueqaUS9LfstbUXRw==" spinCount="100000" sheet="1" objects="1" scenarios="1"/>
  <mergeCells count="30">
    <mergeCell ref="B66:J69"/>
    <mergeCell ref="F58:G58"/>
    <mergeCell ref="I58:J58"/>
    <mergeCell ref="F59:G59"/>
    <mergeCell ref="I59:J59"/>
    <mergeCell ref="F60:G60"/>
    <mergeCell ref="I60:J60"/>
    <mergeCell ref="I61:J61"/>
    <mergeCell ref="F63:G63"/>
    <mergeCell ref="I63:J63"/>
    <mergeCell ref="F64:G64"/>
    <mergeCell ref="I64:J64"/>
    <mergeCell ref="F55:G55"/>
    <mergeCell ref="I55:J55"/>
    <mergeCell ref="F56:G56"/>
    <mergeCell ref="I56:J56"/>
    <mergeCell ref="F57:G57"/>
    <mergeCell ref="I57:J57"/>
    <mergeCell ref="F52:G52"/>
    <mergeCell ref="I52:J52"/>
    <mergeCell ref="F53:G53"/>
    <mergeCell ref="I53:J53"/>
    <mergeCell ref="F54:G54"/>
    <mergeCell ref="I54:J54"/>
    <mergeCell ref="F20:G20"/>
    <mergeCell ref="I20:J20"/>
    <mergeCell ref="F48:G48"/>
    <mergeCell ref="I48:J48"/>
    <mergeCell ref="F51:G51"/>
    <mergeCell ref="I51:J51"/>
  </mergeCells>
  <dataValidations count="7">
    <dataValidation type="decimal" allowBlank="1" showInputMessage="1" showErrorMessage="1" errorTitle="Outside range" error="Please enter a weight between 22.5 to 150 kg" sqref="C22:D28" xr:uid="{CC0C2E9D-4A7E-48AD-9F76-AC689F3C485E}">
      <formula1>22.5</formula1>
      <formula2>150</formula2>
    </dataValidation>
    <dataValidation type="decimal" errorStyle="warning" allowBlank="1" showInputMessage="1" showErrorMessage="1" error="Please double check your entry" sqref="E15" xr:uid="{C2B5007A-9FE9-4742-82F7-D23142190205}">
      <formula1>0.1</formula1>
      <formula2>1000000</formula2>
    </dataValidation>
    <dataValidation type="decimal" errorStyle="warning" allowBlank="1" showInputMessage="1" showErrorMessage="1" error="Please double check your entry" sqref="E17:E18" xr:uid="{07F47C77-17A5-4A92-83EB-5745607935ED}">
      <formula1>0</formula1>
      <formula2>1000000</formula2>
    </dataValidation>
    <dataValidation type="decimal" errorStyle="warning" allowBlank="1" showInputMessage="1" showErrorMessage="1" error="Please double check your entry" sqref="G22:G29 J22:J29" xr:uid="{9379A76E-86E6-4B4F-A73D-F554A71CC1F2}">
      <formula1>30</formula1>
      <formula2>500</formula2>
    </dataValidation>
    <dataValidation type="decimal" errorStyle="warning" allowBlank="1" showInputMessage="1" showErrorMessage="1" error="Please double check your entry" sqref="I22:I29" xr:uid="{F35500F5-3FDE-499C-8270-C94596593AF7}">
      <formula1>0.4</formula1>
      <formula2>1.6</formula2>
    </dataValidation>
    <dataValidation type="list" errorStyle="warning" allowBlank="1" showInputMessage="1" showErrorMessage="1" error="Please double check your entry" sqref="E14" xr:uid="{BFD3BF16-A2FA-4AD8-90C5-A1CE45393C98}">
      <formula1>$Z$14:$Z$18</formula1>
    </dataValidation>
    <dataValidation type="whole" operator="lessThanOrEqual" allowBlank="1" showInputMessage="1" showErrorMessage="1" errorTitle="Outside range" error="Please enter a weight until 130 kg" sqref="D29" xr:uid="{099D990A-C08F-4563-9FA6-904F05B94142}">
      <formula1>130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C4CB1-0936-417A-B4EB-FAB29187E158}">
  <dimension ref="A1:AS76"/>
  <sheetViews>
    <sheetView showGridLines="0" showRowColHeaders="0" zoomScale="80" zoomScaleNormal="80" workbookViewId="0">
      <selection activeCell="B66" sqref="B66:J69"/>
    </sheetView>
  </sheetViews>
  <sheetFormatPr defaultColWidth="8.88671875" defaultRowHeight="14.4"/>
  <cols>
    <col min="1" max="1" width="8.88671875" style="1"/>
    <col min="2" max="2" width="9.33203125" style="1" customWidth="1"/>
    <col min="3" max="3" width="8.88671875" style="1" customWidth="1"/>
    <col min="4" max="4" width="8.6640625" style="1" customWidth="1"/>
    <col min="5" max="5" width="19.109375" style="1" customWidth="1"/>
    <col min="6" max="6" width="14.109375" style="1" customWidth="1"/>
    <col min="7" max="7" width="16.5546875" style="1" customWidth="1"/>
    <col min="8" max="9" width="11.33203125" style="1" customWidth="1"/>
    <col min="10" max="10" width="8.77734375" style="1" bestFit="1" customWidth="1"/>
    <col min="11" max="11" width="9.88671875" style="1" hidden="1" customWidth="1"/>
    <col min="12" max="12" width="8.88671875" style="1" hidden="1" customWidth="1"/>
    <col min="13" max="13" width="10.33203125" style="1" hidden="1" customWidth="1"/>
    <col min="14" max="14" width="8" style="1" hidden="1" customWidth="1"/>
    <col min="15" max="15" width="8.88671875" style="1" hidden="1" customWidth="1"/>
    <col min="16" max="16" width="12.6640625" style="1" hidden="1" customWidth="1"/>
    <col min="17" max="18" width="5.6640625" style="1" hidden="1" customWidth="1"/>
    <col min="19" max="19" width="10.6640625" style="1" hidden="1" customWidth="1"/>
    <col min="20" max="20" width="12" style="1" hidden="1" customWidth="1"/>
    <col min="21" max="23" width="8.88671875" style="1" hidden="1" customWidth="1"/>
    <col min="24" max="24" width="9.6640625" style="1" hidden="1" customWidth="1"/>
    <col min="25" max="25" width="8.88671875" style="1" hidden="1" customWidth="1"/>
    <col min="26" max="26" width="15.5546875" style="1" hidden="1" customWidth="1"/>
    <col min="27" max="27" width="12" style="1" hidden="1" customWidth="1"/>
    <col min="28" max="29" width="8.88671875" style="1" hidden="1" customWidth="1"/>
    <col min="30" max="35" width="8.88671875" style="1" customWidth="1"/>
    <col min="36" max="16384" width="8.88671875" style="1"/>
  </cols>
  <sheetData>
    <row r="1" spans="1:38">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38">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8">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8">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8">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8">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8" spans="1:38">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ht="15" thickBot="1">
      <c r="A10" s="27"/>
      <c r="B10" s="28" t="s">
        <v>18</v>
      </c>
      <c r="C10" s="28"/>
      <c r="D10" s="28"/>
      <c r="E10" s="28"/>
      <c r="F10" s="29"/>
      <c r="G10" s="29"/>
      <c r="H10" s="29"/>
      <c r="I10" s="29"/>
      <c r="J10" s="29"/>
      <c r="K10" s="27"/>
      <c r="L10" s="27"/>
      <c r="M10" s="27"/>
      <c r="N10" s="27"/>
      <c r="O10" s="27"/>
      <c r="P10" s="27"/>
      <c r="Q10" s="27"/>
      <c r="R10" s="27"/>
      <c r="S10" s="27"/>
      <c r="T10" s="27"/>
      <c r="U10" s="27"/>
      <c r="V10" s="27"/>
      <c r="W10" s="27"/>
      <c r="X10" s="27"/>
      <c r="Y10" s="27"/>
      <c r="Z10" s="27" t="s">
        <v>78</v>
      </c>
      <c r="AA10" s="27"/>
      <c r="AB10" s="27"/>
      <c r="AC10" s="27"/>
      <c r="AD10" s="27"/>
      <c r="AE10" s="27"/>
      <c r="AF10" s="27"/>
      <c r="AG10" s="27"/>
      <c r="AH10" s="27"/>
      <c r="AI10" s="27"/>
      <c r="AJ10" s="27"/>
      <c r="AK10" s="27"/>
      <c r="AL10" s="27"/>
    </row>
    <row r="11" spans="1:38">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hidden="1">
      <c r="A12" s="27"/>
      <c r="B12" s="27" t="s">
        <v>77</v>
      </c>
      <c r="C12" s="27"/>
      <c r="D12" s="27"/>
      <c r="E12" s="30">
        <f>1.98/2.2046</f>
        <v>0.89812210831896933</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row>
    <row r="13" spans="1:38" hidden="1">
      <c r="A13" s="27"/>
      <c r="B13" s="27" t="s">
        <v>1</v>
      </c>
      <c r="C13" s="27"/>
      <c r="D13" s="27"/>
      <c r="E13" s="30">
        <v>2.6</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c r="A14" s="27"/>
      <c r="B14" s="27" t="s">
        <v>71</v>
      </c>
      <c r="C14" s="27"/>
      <c r="D14" s="27"/>
      <c r="E14" s="31" t="s">
        <v>73</v>
      </c>
      <c r="F14" s="27"/>
      <c r="G14" s="27"/>
      <c r="H14" s="27"/>
      <c r="I14" s="27"/>
      <c r="J14" s="27"/>
      <c r="K14" s="27"/>
      <c r="L14" s="27"/>
      <c r="M14" s="27"/>
      <c r="N14" s="27"/>
      <c r="O14" s="27"/>
      <c r="P14" s="27"/>
      <c r="Q14" s="27"/>
      <c r="R14" s="27"/>
      <c r="S14" s="27"/>
      <c r="T14" s="27"/>
      <c r="U14" s="27"/>
      <c r="V14" s="27"/>
      <c r="W14" s="27"/>
      <c r="X14" s="27"/>
      <c r="Y14" s="27"/>
      <c r="Z14" s="27" t="s">
        <v>56</v>
      </c>
      <c r="AA14" s="27" t="e">
        <f>((0.000042*X22^2)-(0.02372*X22)+6.1452)</f>
        <v>#VALUE!</v>
      </c>
      <c r="AB14" s="27"/>
      <c r="AC14" s="27"/>
      <c r="AD14" s="27"/>
      <c r="AE14" s="27"/>
      <c r="AF14" s="27"/>
      <c r="AG14" s="27"/>
      <c r="AH14" s="27"/>
      <c r="AI14" s="27"/>
      <c r="AJ14" s="27"/>
      <c r="AK14" s="27"/>
      <c r="AL14" s="27"/>
    </row>
    <row r="15" spans="1:38">
      <c r="A15" s="27"/>
      <c r="B15" s="27" t="s">
        <v>22</v>
      </c>
      <c r="C15" s="27"/>
      <c r="D15" s="27"/>
      <c r="E15" s="5">
        <v>1.0494000720000001</v>
      </c>
      <c r="F15" s="27"/>
      <c r="G15" s="27"/>
      <c r="H15" s="32"/>
      <c r="I15" s="27"/>
      <c r="J15" s="27"/>
      <c r="K15" s="27"/>
      <c r="L15" s="27"/>
      <c r="M15" s="27"/>
      <c r="N15" s="27"/>
      <c r="O15" s="27"/>
      <c r="P15" s="27"/>
      <c r="Q15" s="27"/>
      <c r="R15" s="27"/>
      <c r="S15" s="27"/>
      <c r="T15" s="27"/>
      <c r="U15" s="27"/>
      <c r="V15" s="27"/>
      <c r="W15" s="27"/>
      <c r="X15" s="27"/>
      <c r="Y15" s="27"/>
      <c r="Z15" s="27" t="s">
        <v>55</v>
      </c>
      <c r="AA15" s="27" t="e">
        <f>((0.000056*X22^2)-(0.02844*X22)+6.6391)</f>
        <v>#VALUE!</v>
      </c>
      <c r="AB15" s="27"/>
      <c r="AC15" s="27"/>
      <c r="AD15" s="27"/>
      <c r="AE15" s="27"/>
      <c r="AF15" s="27"/>
      <c r="AG15" s="27"/>
      <c r="AH15" s="27"/>
      <c r="AI15" s="27"/>
      <c r="AJ15" s="27"/>
      <c r="AK15" s="27"/>
      <c r="AL15" s="27"/>
    </row>
    <row r="16" spans="1:38">
      <c r="A16" s="27"/>
      <c r="B16" s="27" t="s">
        <v>8</v>
      </c>
      <c r="C16" s="27"/>
      <c r="D16" s="27"/>
      <c r="E16" s="5">
        <v>55</v>
      </c>
      <c r="F16" s="27"/>
      <c r="G16" s="27"/>
      <c r="H16" s="27"/>
      <c r="I16" s="27"/>
      <c r="J16" s="27"/>
      <c r="K16" s="27"/>
      <c r="L16" s="27"/>
      <c r="M16" s="27"/>
      <c r="N16" s="27"/>
      <c r="O16" s="33"/>
      <c r="P16" s="33"/>
      <c r="Q16" s="27"/>
      <c r="R16" s="27"/>
      <c r="S16" s="27"/>
      <c r="T16" s="27"/>
      <c r="U16" s="27"/>
      <c r="V16" s="27"/>
      <c r="W16" s="27"/>
      <c r="X16" s="27"/>
      <c r="Y16" s="27"/>
      <c r="Z16" s="27" t="s">
        <v>72</v>
      </c>
      <c r="AA16" s="27" t="e">
        <f>IF(AA14*((0.0023*M22)+0.9644)&lt;AA15,AA15,AA14*((0.0023*M22)+0.9644))</f>
        <v>#VALUE!</v>
      </c>
      <c r="AB16" s="27"/>
      <c r="AC16" s="27"/>
      <c r="AD16" s="27"/>
      <c r="AE16" s="27"/>
      <c r="AF16" s="27"/>
      <c r="AG16" s="27"/>
      <c r="AH16" s="27"/>
      <c r="AI16" s="27"/>
      <c r="AJ16" s="27"/>
      <c r="AK16" s="27"/>
      <c r="AL16" s="27"/>
    </row>
    <row r="17" spans="1:45">
      <c r="A17" s="27"/>
      <c r="B17" s="27" t="s">
        <v>17</v>
      </c>
      <c r="C17" s="27"/>
      <c r="D17" s="27"/>
      <c r="E17" s="5">
        <v>0.12</v>
      </c>
      <c r="F17" s="27"/>
      <c r="G17" s="27"/>
      <c r="H17" s="27"/>
      <c r="I17" s="27"/>
      <c r="J17" s="27"/>
      <c r="K17" s="27"/>
      <c r="L17" s="27"/>
      <c r="M17" s="27"/>
      <c r="N17" s="27"/>
      <c r="O17" s="33"/>
      <c r="P17" s="33"/>
      <c r="Q17" s="27"/>
      <c r="R17" s="27"/>
      <c r="S17" s="27"/>
      <c r="T17" s="27"/>
      <c r="U17" s="27"/>
      <c r="V17" s="27"/>
      <c r="W17" s="34"/>
      <c r="X17" s="27"/>
      <c r="Y17" s="27"/>
      <c r="Z17" s="27" t="s">
        <v>73</v>
      </c>
      <c r="AA17" s="27" t="e">
        <f>AVERAGE(AA14,AA15)</f>
        <v>#VALUE!</v>
      </c>
      <c r="AB17" s="27"/>
      <c r="AC17" s="27"/>
      <c r="AD17" s="27"/>
      <c r="AE17" s="27"/>
      <c r="AF17" s="27"/>
      <c r="AG17" s="27"/>
      <c r="AH17" s="27"/>
      <c r="AI17" s="27"/>
      <c r="AJ17" s="27"/>
      <c r="AK17" s="27"/>
      <c r="AL17" s="27"/>
    </row>
    <row r="18" spans="1:45">
      <c r="A18" s="27"/>
      <c r="B18" s="27" t="s">
        <v>9</v>
      </c>
      <c r="C18" s="27"/>
      <c r="D18" s="27"/>
      <c r="E18" s="5">
        <v>14</v>
      </c>
      <c r="F18" s="27"/>
      <c r="G18" s="27"/>
      <c r="H18" s="27"/>
      <c r="I18" s="27"/>
      <c r="J18" s="27"/>
      <c r="K18" s="27"/>
      <c r="L18" s="27"/>
      <c r="M18" s="27"/>
      <c r="N18" s="27"/>
      <c r="O18" s="33"/>
      <c r="P18" s="33"/>
      <c r="Q18" s="27"/>
      <c r="R18" s="27"/>
      <c r="S18" s="27"/>
      <c r="T18" s="35"/>
      <c r="U18" s="27"/>
      <c r="V18" s="35"/>
      <c r="W18" s="34"/>
      <c r="X18" s="27"/>
      <c r="Y18" s="27"/>
      <c r="Z18" s="27" t="s">
        <v>74</v>
      </c>
      <c r="AA18" s="27" t="e">
        <f>AVERAGE(AA16,AA15)</f>
        <v>#VALUE!</v>
      </c>
      <c r="AB18" s="27"/>
      <c r="AC18" s="27"/>
      <c r="AD18" s="27"/>
      <c r="AE18" s="27"/>
      <c r="AF18" s="27"/>
      <c r="AG18" s="27"/>
      <c r="AH18" s="27"/>
      <c r="AI18" s="27"/>
      <c r="AJ18" s="27"/>
      <c r="AK18" s="27"/>
      <c r="AL18" s="27"/>
    </row>
    <row r="19" spans="1:45">
      <c r="A19" s="27"/>
      <c r="B19" s="27"/>
      <c r="C19" s="27"/>
      <c r="D19" s="27"/>
      <c r="E19" s="27"/>
      <c r="F19" s="27"/>
      <c r="G19" s="27"/>
      <c r="H19" s="27"/>
      <c r="I19" s="27"/>
      <c r="J19" s="27"/>
      <c r="K19" s="36"/>
      <c r="L19" s="36"/>
      <c r="M19" s="36"/>
      <c r="N19" s="36"/>
      <c r="O19" s="36"/>
      <c r="P19" s="36"/>
      <c r="Q19" s="36"/>
      <c r="R19" s="36"/>
      <c r="S19" s="27"/>
      <c r="T19" s="35"/>
      <c r="U19" s="27"/>
      <c r="V19" s="35"/>
      <c r="W19" s="34"/>
      <c r="X19" s="27"/>
      <c r="Y19" s="27"/>
      <c r="Z19" s="27"/>
      <c r="AA19" s="27"/>
      <c r="AB19" s="27"/>
      <c r="AC19" s="27"/>
      <c r="AD19" s="27"/>
      <c r="AE19" s="27"/>
      <c r="AF19" s="27"/>
      <c r="AG19" s="27"/>
      <c r="AH19" s="27"/>
      <c r="AI19" s="27"/>
      <c r="AJ19" s="27"/>
      <c r="AK19" s="27"/>
      <c r="AL19" s="27"/>
    </row>
    <row r="20" spans="1:45" ht="15" thickBot="1">
      <c r="A20" s="27"/>
      <c r="B20" s="29"/>
      <c r="C20" s="29"/>
      <c r="D20" s="29"/>
      <c r="E20" s="29"/>
      <c r="F20" s="118" t="s">
        <v>83</v>
      </c>
      <c r="G20" s="118"/>
      <c r="H20" s="29"/>
      <c r="I20" s="119" t="s">
        <v>16</v>
      </c>
      <c r="J20" s="119"/>
      <c r="K20" s="36"/>
      <c r="L20" s="36"/>
      <c r="M20" s="36"/>
      <c r="N20" s="36"/>
      <c r="O20" s="36"/>
      <c r="P20" s="36"/>
      <c r="Q20" s="36"/>
      <c r="R20" s="36"/>
      <c r="S20" s="27"/>
      <c r="T20" s="35"/>
      <c r="U20" s="27"/>
      <c r="V20" s="35"/>
      <c r="W20" s="34"/>
      <c r="X20" s="27"/>
      <c r="Y20" s="27"/>
      <c r="Z20" s="27" t="s">
        <v>79</v>
      </c>
      <c r="AA20" s="27"/>
      <c r="AB20" s="27"/>
      <c r="AC20" s="27"/>
      <c r="AD20" s="27"/>
      <c r="AE20" s="27"/>
      <c r="AF20" s="27"/>
      <c r="AG20" s="27"/>
      <c r="AH20" s="27"/>
      <c r="AI20" s="27"/>
      <c r="AJ20" s="27"/>
      <c r="AK20" s="27"/>
      <c r="AL20" s="27"/>
    </row>
    <row r="21" spans="1:45">
      <c r="A21" s="27"/>
      <c r="B21" s="27"/>
      <c r="C21" s="37" t="s">
        <v>23</v>
      </c>
      <c r="D21" s="38"/>
      <c r="E21" s="38" t="s">
        <v>84</v>
      </c>
      <c r="F21" s="39" t="s">
        <v>6</v>
      </c>
      <c r="G21" s="40" t="s">
        <v>101</v>
      </c>
      <c r="H21" s="27"/>
      <c r="I21" s="41" t="s">
        <v>6</v>
      </c>
      <c r="J21" s="40" t="s">
        <v>101</v>
      </c>
      <c r="K21" s="33"/>
      <c r="L21" s="36"/>
      <c r="M21" s="36" t="s">
        <v>65</v>
      </c>
      <c r="N21" s="36" t="s">
        <v>64</v>
      </c>
      <c r="O21" s="36"/>
      <c r="P21" s="36"/>
      <c r="Q21" s="36" t="s">
        <v>66</v>
      </c>
      <c r="R21" s="36" t="s">
        <v>67</v>
      </c>
      <c r="S21" s="36" t="s">
        <v>68</v>
      </c>
      <c r="T21" s="35" t="s">
        <v>69</v>
      </c>
      <c r="U21" s="27"/>
      <c r="V21" s="35"/>
      <c r="W21" s="34"/>
      <c r="X21" s="27" t="s">
        <v>75</v>
      </c>
      <c r="Y21" s="27"/>
      <c r="Z21" s="27" t="s">
        <v>56</v>
      </c>
      <c r="AA21" s="27" t="e">
        <f>((0.000042*X23^2)-(0.02372*X23)+6.1452)</f>
        <v>#VALUE!</v>
      </c>
      <c r="AB21" s="27"/>
      <c r="AC21" s="27"/>
      <c r="AD21" s="27"/>
      <c r="AE21" s="27"/>
      <c r="AF21" s="27"/>
      <c r="AG21" s="27"/>
      <c r="AH21" s="27"/>
      <c r="AI21" s="27"/>
      <c r="AJ21" s="27"/>
      <c r="AK21" s="27"/>
      <c r="AL21" s="27"/>
    </row>
    <row r="22" spans="1:45">
      <c r="A22" s="27"/>
      <c r="B22" s="115"/>
      <c r="C22" s="155"/>
      <c r="D22" s="155"/>
      <c r="E22" s="156"/>
      <c r="F22" s="117" t="str">
        <f>IFERROR(VLOOKUP($E$14,$Z$14:$AA$18,2,FALSE)*E22/10000,"")</f>
        <v/>
      </c>
      <c r="G22" s="6"/>
      <c r="H22" s="27"/>
      <c r="I22" s="157"/>
      <c r="J22" s="6"/>
      <c r="K22" s="44" t="str">
        <f t="shared" ref="K22:K29" si="0">IFERROR(I22-F22,"")</f>
        <v/>
      </c>
      <c r="L22" s="45"/>
      <c r="M22" s="46" t="str">
        <f t="shared" ref="M22:M28" si="1">IFERROR(AVERAGE(C22:D22),"")</f>
        <v/>
      </c>
      <c r="N22" s="46">
        <f t="shared" ref="N22:N28" si="2">IF(D22-C22=0,0,D22-C22)</f>
        <v>0</v>
      </c>
      <c r="O22" s="45"/>
      <c r="P22" s="34" t="s">
        <v>87</v>
      </c>
      <c r="Q22" s="47" t="str">
        <f t="shared" ref="Q22:Q28" si="3">IFERROR(0.000001*$M22^3-0.0003*$M22^2+0.038*$M22+0.8558,"")</f>
        <v/>
      </c>
      <c r="R22" s="47" t="str">
        <f t="shared" ref="R22:R28" si="4">IFERROR(Q22/G38,"")</f>
        <v/>
      </c>
      <c r="S22" s="48" t="str">
        <f t="shared" ref="S22:S28" si="5">IFERROR(Q22*N22*G22/1000,"")</f>
        <v/>
      </c>
      <c r="T22" s="48" t="str">
        <f t="shared" ref="T22:T28" si="6">IFERROR(R22*N22*J22/1000,"")</f>
        <v/>
      </c>
      <c r="U22" s="27"/>
      <c r="V22" s="35"/>
      <c r="W22" s="34" t="s">
        <v>87</v>
      </c>
      <c r="X22" s="49" t="str">
        <f>IFERROR(M22*2.204622,"")</f>
        <v/>
      </c>
      <c r="Y22" s="27"/>
      <c r="Z22" s="27" t="s">
        <v>55</v>
      </c>
      <c r="AA22" s="27" t="e">
        <f>((0.000056*X23^2)-(0.02844*X23)+6.6391)</f>
        <v>#VALUE!</v>
      </c>
      <c r="AB22" s="27"/>
      <c r="AC22" s="27"/>
      <c r="AD22" s="27"/>
      <c r="AE22" s="27"/>
      <c r="AF22" s="27"/>
      <c r="AG22" s="27"/>
      <c r="AH22" s="27"/>
      <c r="AI22" s="27"/>
      <c r="AJ22" s="27"/>
      <c r="AK22" s="27"/>
      <c r="AL22" s="27"/>
    </row>
    <row r="23" spans="1:45">
      <c r="A23" s="27"/>
      <c r="B23" s="115"/>
      <c r="C23" s="155"/>
      <c r="D23" s="155"/>
      <c r="E23" s="156"/>
      <c r="F23" s="117" t="str">
        <f>IFERROR(VLOOKUP($E$14,$Z$21:$AA$25,2,FALSE)*E23/10000,"")</f>
        <v/>
      </c>
      <c r="G23" s="6"/>
      <c r="H23" s="27"/>
      <c r="I23" s="157"/>
      <c r="J23" s="6"/>
      <c r="K23" s="44" t="str">
        <f t="shared" si="0"/>
        <v/>
      </c>
      <c r="L23" s="45"/>
      <c r="M23" s="46" t="str">
        <f t="shared" si="1"/>
        <v/>
      </c>
      <c r="N23" s="46">
        <f t="shared" si="2"/>
        <v>0</v>
      </c>
      <c r="O23" s="45"/>
      <c r="P23" s="34" t="s">
        <v>88</v>
      </c>
      <c r="Q23" s="47" t="str">
        <f t="shared" si="3"/>
        <v/>
      </c>
      <c r="R23" s="47" t="str">
        <f t="shared" si="4"/>
        <v/>
      </c>
      <c r="S23" s="48" t="str">
        <f t="shared" si="5"/>
        <v/>
      </c>
      <c r="T23" s="48" t="str">
        <f t="shared" si="6"/>
        <v/>
      </c>
      <c r="U23" s="27"/>
      <c r="V23" s="27"/>
      <c r="W23" s="34" t="s">
        <v>88</v>
      </c>
      <c r="X23" s="49" t="str">
        <f>IFERROR(M23*2.204622,"")</f>
        <v/>
      </c>
      <c r="Y23" s="27"/>
      <c r="Z23" s="27" t="s">
        <v>72</v>
      </c>
      <c r="AA23" s="27" t="e">
        <f>IF(AA21*((0.0023*M23)+0.9644)&lt;AA22,AA22,AA21*((0.0023*M23)+0.9644))</f>
        <v>#VALUE!</v>
      </c>
      <c r="AB23" s="27"/>
      <c r="AC23" s="27"/>
      <c r="AD23" s="27"/>
      <c r="AE23" s="27"/>
      <c r="AF23" s="27"/>
      <c r="AG23" s="27"/>
      <c r="AH23" s="27"/>
      <c r="AI23" s="27"/>
      <c r="AJ23" s="27"/>
      <c r="AK23" s="27"/>
      <c r="AL23" s="27"/>
    </row>
    <row r="24" spans="1:45">
      <c r="A24" s="27"/>
      <c r="B24" s="115"/>
      <c r="C24" s="155"/>
      <c r="D24" s="155"/>
      <c r="E24" s="156"/>
      <c r="F24" s="117" t="str">
        <f>IFERROR(VLOOKUP($E$14,$Z$31:$AA$35,2,FALSE)*E24/10000,"")</f>
        <v/>
      </c>
      <c r="G24" s="6"/>
      <c r="H24" s="27"/>
      <c r="I24" s="157"/>
      <c r="J24" s="6"/>
      <c r="K24" s="44" t="str">
        <f t="shared" si="0"/>
        <v/>
      </c>
      <c r="L24" s="45"/>
      <c r="M24" s="46" t="str">
        <f t="shared" si="1"/>
        <v/>
      </c>
      <c r="N24" s="46">
        <f t="shared" si="2"/>
        <v>0</v>
      </c>
      <c r="O24" s="45"/>
      <c r="P24" s="34" t="s">
        <v>89</v>
      </c>
      <c r="Q24" s="47" t="str">
        <f t="shared" si="3"/>
        <v/>
      </c>
      <c r="R24" s="47" t="str">
        <f t="shared" si="4"/>
        <v/>
      </c>
      <c r="S24" s="48" t="str">
        <f t="shared" si="5"/>
        <v/>
      </c>
      <c r="T24" s="48" t="str">
        <f t="shared" si="6"/>
        <v/>
      </c>
      <c r="U24" s="27"/>
      <c r="V24" s="27"/>
      <c r="W24" s="34" t="s">
        <v>89</v>
      </c>
      <c r="X24" s="49" t="str">
        <f>IFERROR(M24*2.204622,"")</f>
        <v/>
      </c>
      <c r="Y24" s="27"/>
      <c r="Z24" s="27" t="s">
        <v>73</v>
      </c>
      <c r="AA24" s="27" t="e">
        <f>AVERAGE(AA21,AA22)</f>
        <v>#VALUE!</v>
      </c>
      <c r="AB24" s="27"/>
      <c r="AC24" s="27"/>
      <c r="AD24" s="27"/>
      <c r="AE24" s="27"/>
      <c r="AF24" s="27"/>
      <c r="AG24" s="27"/>
      <c r="AH24" s="27"/>
      <c r="AI24" s="27"/>
      <c r="AJ24" s="27"/>
      <c r="AK24" s="27"/>
      <c r="AL24" s="27"/>
    </row>
    <row r="25" spans="1:45">
      <c r="A25" s="27"/>
      <c r="B25" s="115"/>
      <c r="C25" s="155"/>
      <c r="D25" s="155"/>
      <c r="E25" s="156"/>
      <c r="F25" s="117" t="str">
        <f>IFERROR(VLOOKUP($E$14,$Z$40:$AA$47,2,FALSE)*E25/10000,"")</f>
        <v/>
      </c>
      <c r="G25" s="6"/>
      <c r="H25" s="27"/>
      <c r="I25" s="157"/>
      <c r="J25" s="6"/>
      <c r="K25" s="44" t="str">
        <f t="shared" si="0"/>
        <v/>
      </c>
      <c r="L25" s="45"/>
      <c r="M25" s="46" t="str">
        <f t="shared" si="1"/>
        <v/>
      </c>
      <c r="N25" s="46">
        <f t="shared" si="2"/>
        <v>0</v>
      </c>
      <c r="O25" s="45"/>
      <c r="P25" s="34" t="s">
        <v>90</v>
      </c>
      <c r="Q25" s="47" t="str">
        <f t="shared" si="3"/>
        <v/>
      </c>
      <c r="R25" s="47" t="str">
        <f t="shared" si="4"/>
        <v/>
      </c>
      <c r="S25" s="48" t="str">
        <f t="shared" si="5"/>
        <v/>
      </c>
      <c r="T25" s="48" t="str">
        <f t="shared" si="6"/>
        <v/>
      </c>
      <c r="U25" s="27"/>
      <c r="V25" s="27"/>
      <c r="W25" s="34" t="s">
        <v>90</v>
      </c>
      <c r="X25" s="49" t="str">
        <f>IFERROR(M25*2.204622,"")</f>
        <v/>
      </c>
      <c r="Y25" s="27"/>
      <c r="Z25" s="27" t="s">
        <v>74</v>
      </c>
      <c r="AA25" s="27" t="e">
        <f>AVERAGE(AA23,AA22)</f>
        <v>#VALUE!</v>
      </c>
      <c r="AB25" s="27"/>
      <c r="AC25" s="27"/>
      <c r="AD25" s="27"/>
      <c r="AE25" s="27"/>
      <c r="AF25" s="27"/>
      <c r="AG25" s="27"/>
      <c r="AH25" s="27"/>
      <c r="AI25" s="27"/>
      <c r="AJ25" s="27"/>
      <c r="AK25" s="27"/>
      <c r="AL25" s="27"/>
    </row>
    <row r="26" spans="1:45">
      <c r="A26" s="27"/>
      <c r="B26" s="115"/>
      <c r="C26" s="155"/>
      <c r="D26" s="155"/>
      <c r="E26" s="156"/>
      <c r="F26" s="117" t="str">
        <f>IFERROR(VLOOKUP($E$14,$Z$51:$AA$55,2,FALSE)*E26/10000,"")</f>
        <v/>
      </c>
      <c r="G26" s="6"/>
      <c r="H26" s="27"/>
      <c r="I26" s="157"/>
      <c r="J26" s="6"/>
      <c r="K26" s="44" t="str">
        <f t="shared" si="0"/>
        <v/>
      </c>
      <c r="L26" s="45"/>
      <c r="M26" s="46" t="str">
        <f t="shared" si="1"/>
        <v/>
      </c>
      <c r="N26" s="46">
        <f t="shared" si="2"/>
        <v>0</v>
      </c>
      <c r="O26" s="45"/>
      <c r="P26" s="34" t="s">
        <v>91</v>
      </c>
      <c r="Q26" s="47" t="str">
        <f t="shared" si="3"/>
        <v/>
      </c>
      <c r="R26" s="47" t="str">
        <f t="shared" si="4"/>
        <v/>
      </c>
      <c r="S26" s="48" t="str">
        <f t="shared" si="5"/>
        <v/>
      </c>
      <c r="T26" s="48" t="str">
        <f t="shared" si="6"/>
        <v/>
      </c>
      <c r="U26" s="27"/>
      <c r="V26" s="27"/>
      <c r="W26" s="34" t="s">
        <v>91</v>
      </c>
      <c r="X26" s="49" t="str">
        <f>IFERROR(M26*2.204622,"")</f>
        <v/>
      </c>
      <c r="Y26" s="27"/>
      <c r="Z26" s="27"/>
      <c r="AA26" s="27"/>
      <c r="AB26" s="27"/>
      <c r="AC26" s="27"/>
      <c r="AD26" s="27"/>
      <c r="AE26" s="27"/>
      <c r="AF26" s="27"/>
      <c r="AG26" s="27"/>
      <c r="AH26" s="27"/>
      <c r="AI26" s="27"/>
      <c r="AJ26" s="27"/>
      <c r="AK26" s="27"/>
      <c r="AL26" s="27"/>
    </row>
    <row r="27" spans="1:45">
      <c r="A27" s="27"/>
      <c r="B27" s="27"/>
      <c r="C27" s="155"/>
      <c r="D27" s="155"/>
      <c r="E27" s="156"/>
      <c r="F27" s="117" t="str">
        <f>IFERROR(VLOOKUP($E$14,$Z$58:$AA$62,2,FALSE)*E27/10000,"")</f>
        <v/>
      </c>
      <c r="G27" s="6"/>
      <c r="H27" s="27"/>
      <c r="I27" s="157"/>
      <c r="J27" s="6"/>
      <c r="K27" s="44" t="str">
        <f t="shared" si="0"/>
        <v/>
      </c>
      <c r="L27" s="45"/>
      <c r="M27" s="46" t="str">
        <f t="shared" si="1"/>
        <v/>
      </c>
      <c r="N27" s="46">
        <f t="shared" si="2"/>
        <v>0</v>
      </c>
      <c r="O27" s="45"/>
      <c r="P27" s="34" t="s">
        <v>92</v>
      </c>
      <c r="Q27" s="47" t="str">
        <f t="shared" si="3"/>
        <v/>
      </c>
      <c r="R27" s="47" t="str">
        <f t="shared" si="4"/>
        <v/>
      </c>
      <c r="S27" s="48" t="str">
        <f t="shared" si="5"/>
        <v/>
      </c>
      <c r="T27" s="48" t="str">
        <f t="shared" si="6"/>
        <v/>
      </c>
      <c r="U27" s="27"/>
      <c r="V27" s="27"/>
      <c r="W27" s="34" t="s">
        <v>92</v>
      </c>
      <c r="X27" s="49" t="str">
        <f t="shared" ref="X27:X28" si="7">IFERROR(M27*2.204622,"")</f>
        <v/>
      </c>
      <c r="Y27" s="27"/>
      <c r="Z27" s="27"/>
      <c r="AA27" s="27"/>
      <c r="AB27" s="27"/>
      <c r="AC27" s="27"/>
      <c r="AD27" s="27"/>
      <c r="AE27" s="27"/>
      <c r="AF27" s="27"/>
      <c r="AG27" s="27"/>
      <c r="AH27" s="27"/>
      <c r="AI27" s="27"/>
      <c r="AJ27" s="27"/>
      <c r="AK27" s="27"/>
      <c r="AL27" s="27"/>
    </row>
    <row r="28" spans="1:45">
      <c r="A28" s="27"/>
      <c r="B28" s="27"/>
      <c r="C28" s="155"/>
      <c r="D28" s="155"/>
      <c r="E28" s="156"/>
      <c r="F28" s="117" t="str">
        <f>IFERROR(VLOOKUP($E$14,$Z$65:$AA$69,2,FALSE)*E28/10000,"")</f>
        <v/>
      </c>
      <c r="G28" s="6"/>
      <c r="H28" s="27"/>
      <c r="I28" s="157"/>
      <c r="J28" s="6"/>
      <c r="K28" s="44" t="str">
        <f t="shared" si="0"/>
        <v/>
      </c>
      <c r="L28" s="45"/>
      <c r="M28" s="46" t="str">
        <f t="shared" si="1"/>
        <v/>
      </c>
      <c r="N28" s="46">
        <f t="shared" si="2"/>
        <v>0</v>
      </c>
      <c r="O28" s="45"/>
      <c r="P28" s="34" t="s">
        <v>93</v>
      </c>
      <c r="Q28" s="47" t="str">
        <f t="shared" si="3"/>
        <v/>
      </c>
      <c r="R28" s="47" t="str">
        <f t="shared" si="4"/>
        <v/>
      </c>
      <c r="S28" s="48" t="str">
        <f t="shared" si="5"/>
        <v/>
      </c>
      <c r="T28" s="48" t="str">
        <f t="shared" si="6"/>
        <v/>
      </c>
      <c r="U28" s="27"/>
      <c r="V28" s="27"/>
      <c r="W28" s="34" t="s">
        <v>93</v>
      </c>
      <c r="X28" s="49" t="str">
        <f t="shared" si="7"/>
        <v/>
      </c>
      <c r="Y28" s="27"/>
      <c r="Z28" s="27"/>
      <c r="AA28" s="27"/>
      <c r="AB28" s="27"/>
      <c r="AC28" s="27"/>
      <c r="AD28" s="27"/>
      <c r="AE28" s="27"/>
      <c r="AF28" s="27"/>
      <c r="AG28" s="27"/>
      <c r="AH28" s="27"/>
      <c r="AI28" s="27"/>
      <c r="AJ28" s="27"/>
      <c r="AK28" s="27"/>
      <c r="AL28" s="27"/>
    </row>
    <row r="29" spans="1:45" hidden="1">
      <c r="A29" s="27"/>
      <c r="B29" s="27"/>
      <c r="C29" s="50"/>
      <c r="D29" s="50"/>
      <c r="E29" s="51"/>
      <c r="F29" s="43"/>
      <c r="G29" s="52"/>
      <c r="H29" s="27"/>
      <c r="I29" s="53"/>
      <c r="J29" s="52"/>
      <c r="K29" s="44">
        <f t="shared" si="0"/>
        <v>0</v>
      </c>
      <c r="L29" s="45"/>
      <c r="M29" s="46"/>
      <c r="N29" s="46"/>
      <c r="O29" s="45"/>
      <c r="P29" s="27"/>
      <c r="Q29" s="47"/>
      <c r="R29" s="47"/>
      <c r="S29" s="48"/>
      <c r="T29" s="48"/>
      <c r="U29" s="27"/>
      <c r="V29" s="27"/>
      <c r="W29" s="27"/>
      <c r="X29" s="49"/>
      <c r="Y29" s="27"/>
      <c r="Z29" s="27"/>
      <c r="AA29" s="27"/>
      <c r="AB29" s="27"/>
      <c r="AC29" s="27"/>
      <c r="AD29" s="27"/>
      <c r="AE29" s="27"/>
      <c r="AF29" s="27"/>
      <c r="AG29" s="27"/>
      <c r="AH29" s="27"/>
      <c r="AI29" s="27"/>
      <c r="AJ29" s="27"/>
      <c r="AK29" s="27"/>
      <c r="AL29" s="27"/>
      <c r="AR29" s="1">
        <f t="shared" ref="AR29:AS29" si="8">C27*2.204622</f>
        <v>0</v>
      </c>
      <c r="AS29" s="1">
        <f t="shared" si="8"/>
        <v>0</v>
      </c>
    </row>
    <row r="30" spans="1:45" hidden="1">
      <c r="A30" s="27"/>
      <c r="B30" s="54"/>
      <c r="C30" s="54"/>
      <c r="D30" s="54"/>
      <c r="E30" s="54"/>
      <c r="F30" s="43"/>
      <c r="G30" s="55"/>
      <c r="H30" s="27"/>
      <c r="I30" s="56"/>
      <c r="J30" s="57"/>
      <c r="K30" s="33"/>
      <c r="L30" s="45"/>
      <c r="M30" s="45"/>
      <c r="N30" s="58">
        <f>SUM(N22:N28)</f>
        <v>0</v>
      </c>
      <c r="O30" s="58"/>
      <c r="P30" s="27"/>
      <c r="Q30" s="45"/>
      <c r="R30" s="45"/>
      <c r="S30" s="48">
        <f>SUM(S22:S28)</f>
        <v>0</v>
      </c>
      <c r="T30" s="48">
        <f>SUM(T22:T28)</f>
        <v>0</v>
      </c>
      <c r="U30" s="27"/>
      <c r="V30" s="27"/>
      <c r="W30" s="27"/>
      <c r="X30" s="49"/>
      <c r="Y30" s="27"/>
      <c r="Z30" s="27" t="s">
        <v>80</v>
      </c>
      <c r="AA30" s="27"/>
      <c r="AB30" s="27"/>
      <c r="AC30" s="27"/>
      <c r="AD30" s="27"/>
      <c r="AE30" s="27"/>
      <c r="AF30" s="27"/>
      <c r="AG30" s="27"/>
      <c r="AH30" s="27"/>
      <c r="AI30" s="27"/>
      <c r="AJ30" s="27"/>
      <c r="AK30" s="27"/>
      <c r="AL30" s="27"/>
      <c r="AR30" s="1">
        <f t="shared" ref="AR30:AS30" si="9">C28*2.204622</f>
        <v>0</v>
      </c>
      <c r="AS30" s="1">
        <f t="shared" si="9"/>
        <v>0</v>
      </c>
    </row>
    <row r="31" spans="1:45" hidden="1">
      <c r="A31" s="27"/>
      <c r="B31" s="59">
        <v>1</v>
      </c>
      <c r="C31" s="60" t="s">
        <v>0</v>
      </c>
      <c r="D31" s="61" t="str">
        <f t="shared" ref="D31:D37" si="10">IFERROR(1.1298+(-0.00162*$M22*2.2046)+(0.000004267*($M22*2.2046)^2)+0.3757*(0),"")</f>
        <v/>
      </c>
      <c r="E31" s="62"/>
      <c r="F31" s="61" t="str">
        <f t="shared" ref="F31:F37" si="11">IFERROR(1.1298+(-0.00162*$M22*2.2046)+(0.000004267*($M22*2.2046)^2)+0.3757*($K22),"")</f>
        <v/>
      </c>
      <c r="G31" s="63">
        <f t="shared" ref="G31:G42" si="12">IFERROR(F31/D31,0)</f>
        <v>0</v>
      </c>
      <c r="H31" s="64"/>
      <c r="I31" s="65"/>
      <c r="J31" s="27"/>
      <c r="K31" s="27"/>
      <c r="L31" s="27"/>
      <c r="M31" s="27"/>
      <c r="N31" s="27"/>
      <c r="O31" s="27"/>
      <c r="P31" s="27"/>
      <c r="Q31" s="27"/>
      <c r="R31" s="66"/>
      <c r="S31" s="67" t="e">
        <f>S30/N30</f>
        <v>#DIV/0!</v>
      </c>
      <c r="T31" s="67" t="e">
        <f>T30/N30</f>
        <v>#DIV/0!</v>
      </c>
      <c r="U31" s="27"/>
      <c r="V31" s="27"/>
      <c r="W31" s="27"/>
      <c r="X31" s="49"/>
      <c r="Y31" s="27"/>
      <c r="Z31" s="27" t="s">
        <v>56</v>
      </c>
      <c r="AA31" s="27" t="e">
        <f>((0.000042*X24^2)-(0.02372*X24)+6.1452)</f>
        <v>#VALUE!</v>
      </c>
      <c r="AB31" s="27"/>
      <c r="AC31" s="27"/>
      <c r="AD31" s="27"/>
      <c r="AE31" s="27"/>
      <c r="AF31" s="27"/>
      <c r="AG31" s="27"/>
      <c r="AH31" s="27"/>
      <c r="AI31" s="27"/>
      <c r="AJ31" s="27"/>
      <c r="AK31" s="27"/>
      <c r="AL31" s="27"/>
      <c r="AR31" s="1">
        <f t="shared" ref="AR31:AS31" si="13">C29*2.204622</f>
        <v>0</v>
      </c>
      <c r="AS31" s="1">
        <f t="shared" si="13"/>
        <v>0</v>
      </c>
    </row>
    <row r="32" spans="1:45" hidden="1">
      <c r="A32" s="27"/>
      <c r="B32" s="59">
        <v>2</v>
      </c>
      <c r="C32" s="60" t="s">
        <v>0</v>
      </c>
      <c r="D32" s="61" t="str">
        <f t="shared" si="10"/>
        <v/>
      </c>
      <c r="E32" s="62"/>
      <c r="F32" s="61" t="str">
        <f t="shared" si="11"/>
        <v/>
      </c>
      <c r="G32" s="63">
        <f t="shared" si="12"/>
        <v>0</v>
      </c>
      <c r="H32" s="64"/>
      <c r="I32" s="64"/>
      <c r="J32" s="27"/>
      <c r="K32" s="27"/>
      <c r="L32" s="27"/>
      <c r="M32" s="27"/>
      <c r="N32" s="27"/>
      <c r="O32" s="27"/>
      <c r="P32" s="27"/>
      <c r="Q32" s="27"/>
      <c r="R32" s="27"/>
      <c r="S32" s="27"/>
      <c r="T32" s="27"/>
      <c r="U32" s="27"/>
      <c r="V32" s="27"/>
      <c r="W32" s="27"/>
      <c r="X32" s="49"/>
      <c r="Y32" s="27"/>
      <c r="Z32" s="27" t="s">
        <v>55</v>
      </c>
      <c r="AA32" s="27" t="e">
        <f>((0.000056*X24^2)-(0.02844*X24)+6.6391)</f>
        <v>#VALUE!</v>
      </c>
      <c r="AB32" s="27"/>
      <c r="AC32" s="27"/>
      <c r="AD32" s="27"/>
      <c r="AE32" s="27"/>
      <c r="AF32" s="27"/>
      <c r="AG32" s="27"/>
      <c r="AH32" s="27"/>
      <c r="AI32" s="27"/>
      <c r="AJ32" s="27"/>
      <c r="AK32" s="27"/>
      <c r="AL32" s="27"/>
      <c r="AR32" s="1">
        <f t="shared" ref="AR32:AS32" si="14">C30*2.204622</f>
        <v>0</v>
      </c>
      <c r="AS32" s="1">
        <f t="shared" si="14"/>
        <v>0</v>
      </c>
    </row>
    <row r="33" spans="1:45" hidden="1">
      <c r="A33" s="27"/>
      <c r="B33" s="68">
        <v>3</v>
      </c>
      <c r="C33" s="60" t="s">
        <v>0</v>
      </c>
      <c r="D33" s="61" t="str">
        <f t="shared" si="10"/>
        <v/>
      </c>
      <c r="E33" s="62"/>
      <c r="F33" s="61" t="str">
        <f t="shared" si="11"/>
        <v/>
      </c>
      <c r="G33" s="63">
        <f t="shared" si="12"/>
        <v>0</v>
      </c>
      <c r="H33" s="59"/>
      <c r="I33" s="69"/>
      <c r="J33" s="27"/>
      <c r="K33" s="27"/>
      <c r="L33" s="27"/>
      <c r="M33" s="27"/>
      <c r="N33" s="27"/>
      <c r="O33" s="27"/>
      <c r="P33" s="70"/>
      <c r="Q33" s="27"/>
      <c r="R33" s="70"/>
      <c r="S33" s="71"/>
      <c r="T33" s="27"/>
      <c r="U33" s="27"/>
      <c r="V33" s="27"/>
      <c r="W33" s="70"/>
      <c r="X33" s="49"/>
      <c r="Y33" s="27"/>
      <c r="Z33" s="27" t="s">
        <v>72</v>
      </c>
      <c r="AA33" s="27" t="e">
        <f>IF(AA31*((0.0023*M24)+0.9644)&lt;AA32,AA32,AA31*((0.0023*M24)+0.9644))</f>
        <v>#VALUE!</v>
      </c>
      <c r="AB33" s="27"/>
      <c r="AC33" s="27"/>
      <c r="AD33" s="27"/>
      <c r="AE33" s="27"/>
      <c r="AF33" s="27"/>
      <c r="AG33" s="27"/>
      <c r="AH33" s="27"/>
      <c r="AI33" s="27"/>
      <c r="AJ33" s="27"/>
      <c r="AK33" s="27"/>
      <c r="AL33" s="27"/>
      <c r="AR33" s="1" t="e">
        <f t="shared" ref="AR33:AS33" si="15">C31*2.204622</f>
        <v>#VALUE!</v>
      </c>
      <c r="AS33" s="1" t="e">
        <f t="shared" si="15"/>
        <v>#VALUE!</v>
      </c>
    </row>
    <row r="34" spans="1:45" hidden="1">
      <c r="A34" s="27"/>
      <c r="B34" s="68">
        <v>4</v>
      </c>
      <c r="C34" s="60" t="s">
        <v>0</v>
      </c>
      <c r="D34" s="61" t="str">
        <f t="shared" si="10"/>
        <v/>
      </c>
      <c r="E34" s="62"/>
      <c r="F34" s="61" t="str">
        <f t="shared" si="11"/>
        <v/>
      </c>
      <c r="G34" s="63">
        <f t="shared" si="12"/>
        <v>0</v>
      </c>
      <c r="H34" s="59"/>
      <c r="I34" s="59"/>
      <c r="J34" s="27"/>
      <c r="K34" s="27"/>
      <c r="L34" s="27"/>
      <c r="M34" s="27"/>
      <c r="N34" s="27"/>
      <c r="O34" s="27"/>
      <c r="P34" s="70"/>
      <c r="Q34" s="27"/>
      <c r="R34" s="70"/>
      <c r="S34" s="27"/>
      <c r="T34" s="27"/>
      <c r="U34" s="27"/>
      <c r="V34" s="27"/>
      <c r="W34" s="70"/>
      <c r="X34" s="49"/>
      <c r="Y34" s="27"/>
      <c r="Z34" s="27" t="s">
        <v>73</v>
      </c>
      <c r="AA34" s="27" t="e">
        <f>AVERAGE(AA31,AA32)</f>
        <v>#VALUE!</v>
      </c>
      <c r="AB34" s="27"/>
      <c r="AC34" s="27"/>
      <c r="AD34" s="27"/>
      <c r="AE34" s="27"/>
      <c r="AF34" s="27"/>
      <c r="AG34" s="27"/>
      <c r="AH34" s="27"/>
      <c r="AI34" s="27"/>
      <c r="AJ34" s="27"/>
      <c r="AK34" s="27"/>
      <c r="AL34" s="27"/>
      <c r="AR34" s="1" t="e">
        <f t="shared" ref="AR34:AS34" si="16">C32*2.204622</f>
        <v>#VALUE!</v>
      </c>
      <c r="AS34" s="1" t="e">
        <f t="shared" si="16"/>
        <v>#VALUE!</v>
      </c>
    </row>
    <row r="35" spans="1:45" hidden="1">
      <c r="A35" s="27"/>
      <c r="B35" s="68">
        <v>5</v>
      </c>
      <c r="C35" s="60" t="s">
        <v>0</v>
      </c>
      <c r="D35" s="61" t="str">
        <f t="shared" si="10"/>
        <v/>
      </c>
      <c r="E35" s="62"/>
      <c r="F35" s="61" t="str">
        <f t="shared" si="11"/>
        <v/>
      </c>
      <c r="G35" s="63">
        <f t="shared" si="12"/>
        <v>0</v>
      </c>
      <c r="H35" s="59"/>
      <c r="I35" s="72"/>
      <c r="J35" s="27"/>
      <c r="K35" s="27"/>
      <c r="L35" s="27"/>
      <c r="M35" s="27"/>
      <c r="N35" s="27"/>
      <c r="O35" s="27"/>
      <c r="P35" s="70"/>
      <c r="Q35" s="27"/>
      <c r="R35" s="70"/>
      <c r="S35" s="27"/>
      <c r="T35" s="27"/>
      <c r="U35" s="27"/>
      <c r="V35" s="27"/>
      <c r="W35" s="70"/>
      <c r="X35" s="49"/>
      <c r="Y35" s="27"/>
      <c r="Z35" s="27" t="s">
        <v>74</v>
      </c>
      <c r="AA35" s="27" t="e">
        <f>AVERAGE(AA33,AA32)</f>
        <v>#VALUE!</v>
      </c>
      <c r="AB35" s="27"/>
      <c r="AC35" s="27"/>
      <c r="AD35" s="27"/>
      <c r="AE35" s="27"/>
      <c r="AF35" s="27"/>
      <c r="AG35" s="27"/>
      <c r="AH35" s="27"/>
      <c r="AI35" s="27"/>
      <c r="AJ35" s="27"/>
      <c r="AK35" s="27"/>
      <c r="AL35" s="27"/>
      <c r="AR35" s="1" t="e">
        <f t="shared" ref="AR35:AS35" si="17">C33*2.204622</f>
        <v>#VALUE!</v>
      </c>
      <c r="AS35" s="1" t="e">
        <f t="shared" si="17"/>
        <v>#VALUE!</v>
      </c>
    </row>
    <row r="36" spans="1:45" hidden="1">
      <c r="A36" s="27"/>
      <c r="B36" s="59">
        <v>6</v>
      </c>
      <c r="C36" s="60" t="s">
        <v>0</v>
      </c>
      <c r="D36" s="61" t="str">
        <f t="shared" si="10"/>
        <v/>
      </c>
      <c r="E36" s="62"/>
      <c r="F36" s="61" t="str">
        <f t="shared" si="11"/>
        <v/>
      </c>
      <c r="G36" s="63">
        <f>IFERROR(F36/D36,0)</f>
        <v>0</v>
      </c>
      <c r="H36" s="59"/>
      <c r="I36" s="72"/>
      <c r="J36" s="27"/>
      <c r="K36" s="27"/>
      <c r="L36" s="27"/>
      <c r="M36" s="27"/>
      <c r="N36" s="27"/>
      <c r="O36" s="27"/>
      <c r="P36" s="70"/>
      <c r="Q36" s="27"/>
      <c r="R36" s="70"/>
      <c r="S36" s="27"/>
      <c r="T36" s="27"/>
      <c r="U36" s="27"/>
      <c r="V36" s="27"/>
      <c r="W36" s="70"/>
      <c r="X36" s="49"/>
      <c r="Y36" s="27"/>
      <c r="Z36" s="27"/>
      <c r="AA36" s="27"/>
      <c r="AB36" s="27"/>
      <c r="AC36" s="27"/>
      <c r="AD36" s="27"/>
      <c r="AE36" s="27"/>
      <c r="AF36" s="27"/>
      <c r="AG36" s="27"/>
      <c r="AH36" s="27"/>
      <c r="AI36" s="27"/>
      <c r="AJ36" s="27"/>
      <c r="AK36" s="27"/>
      <c r="AL36" s="27"/>
      <c r="AR36" s="1" t="e">
        <f t="shared" ref="AR36:AS36" si="18">C34*2.204622</f>
        <v>#VALUE!</v>
      </c>
      <c r="AS36" s="1" t="e">
        <f t="shared" si="18"/>
        <v>#VALUE!</v>
      </c>
    </row>
    <row r="37" spans="1:45" hidden="1">
      <c r="A37" s="27"/>
      <c r="B37" s="59">
        <v>7</v>
      </c>
      <c r="C37" s="60" t="s">
        <v>0</v>
      </c>
      <c r="D37" s="61" t="str">
        <f t="shared" si="10"/>
        <v/>
      </c>
      <c r="E37" s="62"/>
      <c r="F37" s="61" t="str">
        <f t="shared" si="11"/>
        <v/>
      </c>
      <c r="G37" s="63">
        <f>IFERROR(F37/D37,0)</f>
        <v>0</v>
      </c>
      <c r="H37" s="59"/>
      <c r="I37" s="72"/>
      <c r="J37" s="27"/>
      <c r="K37" s="27"/>
      <c r="L37" s="27"/>
      <c r="M37" s="27"/>
      <c r="N37" s="27"/>
      <c r="O37" s="27"/>
      <c r="P37" s="70"/>
      <c r="Q37" s="27"/>
      <c r="R37" s="70"/>
      <c r="S37" s="27"/>
      <c r="T37" s="27"/>
      <c r="U37" s="27"/>
      <c r="V37" s="27"/>
      <c r="W37" s="70"/>
      <c r="X37" s="49"/>
      <c r="Y37" s="27"/>
      <c r="Z37" s="27"/>
      <c r="AA37" s="27"/>
      <c r="AB37" s="27"/>
      <c r="AC37" s="27"/>
      <c r="AD37" s="27"/>
      <c r="AE37" s="27"/>
      <c r="AF37" s="27"/>
      <c r="AG37" s="27"/>
      <c r="AH37" s="27"/>
      <c r="AI37" s="27"/>
      <c r="AJ37" s="27"/>
      <c r="AK37" s="27"/>
      <c r="AL37" s="27"/>
      <c r="AR37" s="1" t="e">
        <f t="shared" ref="AR37:AS37" si="19">C35*2.204622</f>
        <v>#VALUE!</v>
      </c>
      <c r="AS37" s="1" t="e">
        <f t="shared" si="19"/>
        <v>#VALUE!</v>
      </c>
    </row>
    <row r="38" spans="1:45" hidden="1">
      <c r="A38" s="27"/>
      <c r="B38" s="59">
        <v>1</v>
      </c>
      <c r="C38" s="60" t="s">
        <v>1</v>
      </c>
      <c r="D38" s="73" t="str">
        <f t="shared" ref="D38:D44" si="20">IFERROR(1.0532+(-0.00083*$M22*2.2046)+(0.000002369*($M22*2.2046)^2)+0.3235*(0),"")</f>
        <v/>
      </c>
      <c r="E38" s="62"/>
      <c r="F38" s="73" t="str">
        <f t="shared" ref="F38:F44" si="21">IFERROR(1.0532+(-0.00083*$M22*2.2046)+(0.000002369*($M22*2.2046)^2)+0.3235*(K22),"")</f>
        <v/>
      </c>
      <c r="G38" s="63">
        <f t="shared" si="12"/>
        <v>0</v>
      </c>
      <c r="H38" s="59"/>
      <c r="I38" s="59"/>
      <c r="J38" s="27"/>
      <c r="K38" s="27"/>
      <c r="L38" s="27"/>
      <c r="M38" s="27"/>
      <c r="N38" s="27"/>
      <c r="O38" s="27"/>
      <c r="P38" s="70"/>
      <c r="Q38" s="27"/>
      <c r="R38" s="70"/>
      <c r="S38" s="27"/>
      <c r="T38" s="27"/>
      <c r="U38" s="27"/>
      <c r="V38" s="27"/>
      <c r="W38" s="70"/>
      <c r="X38" s="49"/>
      <c r="Y38" s="27"/>
      <c r="Z38" s="27"/>
      <c r="AA38" s="27"/>
      <c r="AB38" s="27"/>
      <c r="AC38" s="27"/>
      <c r="AD38" s="27"/>
      <c r="AE38" s="27"/>
      <c r="AF38" s="27"/>
      <c r="AG38" s="27"/>
      <c r="AH38" s="27"/>
      <c r="AI38" s="27"/>
      <c r="AJ38" s="27"/>
      <c r="AK38" s="27"/>
      <c r="AL38" s="27"/>
      <c r="AR38" s="1" t="e">
        <f t="shared" ref="AR38:AS38" si="22">C36*2.204622</f>
        <v>#VALUE!</v>
      </c>
      <c r="AS38" s="1" t="e">
        <f t="shared" si="22"/>
        <v>#VALUE!</v>
      </c>
    </row>
    <row r="39" spans="1:45" hidden="1">
      <c r="A39" s="27"/>
      <c r="B39" s="59">
        <v>2</v>
      </c>
      <c r="C39" s="60" t="s">
        <v>1</v>
      </c>
      <c r="D39" s="73" t="str">
        <f t="shared" si="20"/>
        <v/>
      </c>
      <c r="E39" s="62"/>
      <c r="F39" s="73" t="str">
        <f t="shared" si="21"/>
        <v/>
      </c>
      <c r="G39" s="63">
        <f t="shared" si="12"/>
        <v>0</v>
      </c>
      <c r="H39" s="59"/>
      <c r="I39" s="69"/>
      <c r="J39" s="27"/>
      <c r="K39" s="27"/>
      <c r="L39" s="27"/>
      <c r="M39" s="27"/>
      <c r="N39" s="27"/>
      <c r="O39" s="27"/>
      <c r="P39" s="70"/>
      <c r="Q39" s="27"/>
      <c r="R39" s="70"/>
      <c r="S39" s="27"/>
      <c r="T39" s="27"/>
      <c r="U39" s="27"/>
      <c r="V39" s="27"/>
      <c r="W39" s="70"/>
      <c r="X39" s="49"/>
      <c r="Y39" s="27"/>
      <c r="Z39" s="27" t="s">
        <v>81</v>
      </c>
      <c r="AA39" s="27"/>
      <c r="AB39" s="27"/>
      <c r="AC39" s="27"/>
      <c r="AD39" s="27"/>
      <c r="AE39" s="27"/>
      <c r="AF39" s="27"/>
      <c r="AG39" s="27"/>
      <c r="AH39" s="27"/>
      <c r="AI39" s="27"/>
      <c r="AJ39" s="27"/>
      <c r="AK39" s="27"/>
      <c r="AL39" s="27"/>
      <c r="AR39" s="1" t="e">
        <f t="shared" ref="AR39:AS39" si="23">C37*2.204622</f>
        <v>#VALUE!</v>
      </c>
      <c r="AS39" s="1" t="e">
        <f t="shared" si="23"/>
        <v>#VALUE!</v>
      </c>
    </row>
    <row r="40" spans="1:45" hidden="1">
      <c r="A40" s="27"/>
      <c r="B40" s="68">
        <v>3</v>
      </c>
      <c r="C40" s="60" t="s">
        <v>1</v>
      </c>
      <c r="D40" s="73" t="str">
        <f t="shared" si="20"/>
        <v/>
      </c>
      <c r="E40" s="62"/>
      <c r="F40" s="73" t="str">
        <f t="shared" si="21"/>
        <v/>
      </c>
      <c r="G40" s="63">
        <f t="shared" si="12"/>
        <v>0</v>
      </c>
      <c r="H40" s="59"/>
      <c r="I40" s="59"/>
      <c r="J40" s="27"/>
      <c r="K40" s="27"/>
      <c r="L40" s="27"/>
      <c r="M40" s="27"/>
      <c r="N40" s="27"/>
      <c r="O40" s="27"/>
      <c r="P40" s="70"/>
      <c r="Q40" s="27"/>
      <c r="R40" s="70"/>
      <c r="S40" s="27"/>
      <c r="T40" s="27"/>
      <c r="U40" s="27"/>
      <c r="V40" s="27"/>
      <c r="W40" s="70"/>
      <c r="X40" s="49"/>
      <c r="Y40" s="27"/>
      <c r="Z40" s="27" t="s">
        <v>56</v>
      </c>
      <c r="AA40" s="27" t="e">
        <f>((0.000042*X25^2)-(0.02372*X25)+6.1452)</f>
        <v>#VALUE!</v>
      </c>
      <c r="AB40" s="27"/>
      <c r="AC40" s="27"/>
      <c r="AD40" s="27"/>
      <c r="AE40" s="27"/>
      <c r="AF40" s="27"/>
      <c r="AG40" s="27"/>
      <c r="AH40" s="27"/>
      <c r="AI40" s="27"/>
      <c r="AJ40" s="27"/>
      <c r="AK40" s="27"/>
      <c r="AL40" s="27"/>
      <c r="AR40" s="1" t="e">
        <f t="shared" ref="AR40:AS40" si="24">C38*2.204622</f>
        <v>#VALUE!</v>
      </c>
      <c r="AS40" s="1" t="e">
        <f t="shared" si="24"/>
        <v>#VALUE!</v>
      </c>
    </row>
    <row r="41" spans="1:45" hidden="1">
      <c r="A41" s="27"/>
      <c r="B41" s="68">
        <v>4</v>
      </c>
      <c r="C41" s="60" t="s">
        <v>1</v>
      </c>
      <c r="D41" s="73" t="str">
        <f t="shared" si="20"/>
        <v/>
      </c>
      <c r="E41" s="62"/>
      <c r="F41" s="73" t="str">
        <f t="shared" si="21"/>
        <v/>
      </c>
      <c r="G41" s="63">
        <f t="shared" si="12"/>
        <v>0</v>
      </c>
      <c r="H41" s="59"/>
      <c r="I41" s="69"/>
      <c r="J41" s="27"/>
      <c r="K41" s="27"/>
      <c r="L41" s="27"/>
      <c r="M41" s="27"/>
      <c r="N41" s="27"/>
      <c r="O41" s="27"/>
      <c r="P41" s="70"/>
      <c r="Q41" s="27"/>
      <c r="R41" s="70"/>
      <c r="S41" s="27"/>
      <c r="T41" s="27"/>
      <c r="U41" s="27"/>
      <c r="V41" s="27"/>
      <c r="W41" s="70"/>
      <c r="X41" s="49"/>
      <c r="Y41" s="27"/>
      <c r="Z41" s="27" t="s">
        <v>55</v>
      </c>
      <c r="AA41" s="27" t="e">
        <f>((0.000056*X25^2)-(0.02844*X25)+6.6391)</f>
        <v>#VALUE!</v>
      </c>
      <c r="AB41" s="27"/>
      <c r="AC41" s="27"/>
      <c r="AD41" s="27"/>
      <c r="AE41" s="27"/>
      <c r="AF41" s="27"/>
      <c r="AG41" s="27"/>
      <c r="AH41" s="27"/>
      <c r="AI41" s="27"/>
      <c r="AJ41" s="27"/>
      <c r="AK41" s="27"/>
      <c r="AL41" s="27"/>
      <c r="AR41" s="1" t="e">
        <f t="shared" ref="AR41:AS41" si="25">C39*2.204622</f>
        <v>#VALUE!</v>
      </c>
      <c r="AS41" s="1" t="e">
        <f t="shared" si="25"/>
        <v>#VALUE!</v>
      </c>
    </row>
    <row r="42" spans="1:45" hidden="1">
      <c r="A42" s="27"/>
      <c r="B42" s="68">
        <v>5</v>
      </c>
      <c r="C42" s="60" t="s">
        <v>1</v>
      </c>
      <c r="D42" s="73" t="str">
        <f t="shared" si="20"/>
        <v/>
      </c>
      <c r="E42" s="62"/>
      <c r="F42" s="73" t="str">
        <f t="shared" si="21"/>
        <v/>
      </c>
      <c r="G42" s="63">
        <f t="shared" si="12"/>
        <v>0</v>
      </c>
      <c r="H42" s="59"/>
      <c r="I42" s="59"/>
      <c r="J42" s="27"/>
      <c r="K42" s="27"/>
      <c r="L42" s="27"/>
      <c r="M42" s="27"/>
      <c r="N42" s="27"/>
      <c r="O42" s="27"/>
      <c r="P42" s="70"/>
      <c r="Q42" s="27"/>
      <c r="R42" s="70"/>
      <c r="S42" s="27"/>
      <c r="T42" s="27"/>
      <c r="U42" s="27"/>
      <c r="V42" s="27"/>
      <c r="W42" s="70"/>
      <c r="X42" s="49"/>
      <c r="Y42" s="27"/>
      <c r="Z42" s="27" t="s">
        <v>72</v>
      </c>
      <c r="AA42" s="27" t="e">
        <f>IF(AA40*((0.0023*M25)+0.9644)&lt;AA41,AA41,AA40*((0.0023*M25)+0.9644))</f>
        <v>#VALUE!</v>
      </c>
      <c r="AB42" s="27"/>
      <c r="AC42" s="27"/>
      <c r="AD42" s="27"/>
      <c r="AE42" s="27"/>
      <c r="AF42" s="27"/>
      <c r="AG42" s="27"/>
      <c r="AH42" s="27"/>
      <c r="AI42" s="27"/>
      <c r="AJ42" s="27"/>
      <c r="AK42" s="27"/>
      <c r="AL42" s="27"/>
      <c r="AR42" s="1" t="e">
        <f t="shared" ref="AR42:AS42" si="26">C40*2.204622</f>
        <v>#VALUE!</v>
      </c>
      <c r="AS42" s="1" t="e">
        <f t="shared" si="26"/>
        <v>#VALUE!</v>
      </c>
    </row>
    <row r="43" spans="1:45" hidden="1">
      <c r="A43" s="27"/>
      <c r="B43" s="59">
        <v>6</v>
      </c>
      <c r="C43" s="60" t="s">
        <v>1</v>
      </c>
      <c r="D43" s="73" t="str">
        <f t="shared" si="20"/>
        <v/>
      </c>
      <c r="E43" s="62"/>
      <c r="F43" s="73" t="str">
        <f t="shared" si="21"/>
        <v/>
      </c>
      <c r="G43" s="63">
        <f>IFERROR(F43/D43,0)</f>
        <v>0</v>
      </c>
      <c r="H43" s="59"/>
      <c r="I43" s="59"/>
      <c r="J43" s="27"/>
      <c r="K43" s="27"/>
      <c r="L43" s="27"/>
      <c r="M43" s="27"/>
      <c r="N43" s="27"/>
      <c r="O43" s="27"/>
      <c r="P43" s="70"/>
      <c r="Q43" s="27"/>
      <c r="R43" s="70"/>
      <c r="S43" s="27"/>
      <c r="T43" s="27"/>
      <c r="U43" s="27"/>
      <c r="V43" s="27"/>
      <c r="W43" s="70"/>
      <c r="X43" s="49"/>
      <c r="Y43" s="27"/>
      <c r="Z43" s="27"/>
      <c r="AA43" s="27"/>
      <c r="AB43" s="27"/>
      <c r="AC43" s="27"/>
      <c r="AD43" s="27"/>
      <c r="AE43" s="27"/>
      <c r="AF43" s="27"/>
      <c r="AG43" s="27"/>
      <c r="AH43" s="27"/>
      <c r="AI43" s="27"/>
      <c r="AJ43" s="27"/>
      <c r="AK43" s="27"/>
      <c r="AL43" s="27"/>
      <c r="AR43" s="1" t="e">
        <f t="shared" ref="AR43:AS43" si="27">C41*2.204622</f>
        <v>#VALUE!</v>
      </c>
      <c r="AS43" s="1" t="e">
        <f t="shared" si="27"/>
        <v>#VALUE!</v>
      </c>
    </row>
    <row r="44" spans="1:45" hidden="1">
      <c r="A44" s="27"/>
      <c r="B44" s="59">
        <v>7</v>
      </c>
      <c r="C44" s="60" t="s">
        <v>1</v>
      </c>
      <c r="D44" s="73" t="str">
        <f t="shared" si="20"/>
        <v/>
      </c>
      <c r="E44" s="62"/>
      <c r="F44" s="73" t="str">
        <f t="shared" si="21"/>
        <v/>
      </c>
      <c r="G44" s="63">
        <f>IFERROR(F44/D44,0)</f>
        <v>0</v>
      </c>
      <c r="H44" s="59"/>
      <c r="I44" s="59"/>
      <c r="J44" s="27"/>
      <c r="K44" s="27"/>
      <c r="L44" s="27"/>
      <c r="M44" s="27"/>
      <c r="N44" s="27"/>
      <c r="O44" s="27"/>
      <c r="P44" s="70"/>
      <c r="Q44" s="27"/>
      <c r="R44" s="70"/>
      <c r="S44" s="27"/>
      <c r="T44" s="27"/>
      <c r="U44" s="27"/>
      <c r="V44" s="27"/>
      <c r="W44" s="70"/>
      <c r="X44" s="49"/>
      <c r="Y44" s="27"/>
      <c r="Z44" s="27"/>
      <c r="AA44" s="27"/>
      <c r="AB44" s="27"/>
      <c r="AC44" s="27"/>
      <c r="AD44" s="27"/>
      <c r="AE44" s="27"/>
      <c r="AF44" s="27"/>
      <c r="AG44" s="27"/>
      <c r="AH44" s="27"/>
      <c r="AI44" s="27"/>
      <c r="AJ44" s="27"/>
      <c r="AK44" s="27"/>
      <c r="AL44" s="27"/>
      <c r="AR44" s="1" t="e">
        <f t="shared" ref="AR44:AS44" si="28">C42*2.204622</f>
        <v>#VALUE!</v>
      </c>
      <c r="AS44" s="1" t="e">
        <f t="shared" si="28"/>
        <v>#VALUE!</v>
      </c>
    </row>
    <row r="45" spans="1:45" hidden="1">
      <c r="A45" s="27"/>
      <c r="B45" s="68"/>
      <c r="C45" s="60"/>
      <c r="D45" s="73"/>
      <c r="E45" s="62"/>
      <c r="F45" s="73"/>
      <c r="G45" s="63"/>
      <c r="H45" s="59"/>
      <c r="I45" s="59"/>
      <c r="J45" s="27"/>
      <c r="K45" s="27"/>
      <c r="L45" s="27"/>
      <c r="M45" s="27"/>
      <c r="N45" s="27"/>
      <c r="O45" s="27"/>
      <c r="P45" s="70"/>
      <c r="Q45" s="27"/>
      <c r="R45" s="70"/>
      <c r="S45" s="27"/>
      <c r="T45" s="27"/>
      <c r="U45" s="27"/>
      <c r="V45" s="27"/>
      <c r="W45" s="70"/>
      <c r="X45" s="49"/>
      <c r="Y45" s="27"/>
      <c r="Z45" s="27"/>
      <c r="AA45" s="27"/>
      <c r="AB45" s="27"/>
      <c r="AC45" s="27"/>
      <c r="AD45" s="27"/>
      <c r="AE45" s="27"/>
      <c r="AF45" s="27"/>
      <c r="AG45" s="27"/>
      <c r="AH45" s="27"/>
      <c r="AI45" s="27"/>
      <c r="AJ45" s="27"/>
      <c r="AK45" s="27"/>
      <c r="AL45" s="27"/>
      <c r="AR45" s="1" t="e">
        <f t="shared" ref="AR45:AS45" si="29">C43*2.204622</f>
        <v>#VALUE!</v>
      </c>
      <c r="AS45" s="1" t="e">
        <f t="shared" si="29"/>
        <v>#VALUE!</v>
      </c>
    </row>
    <row r="46" spans="1:45" hidden="1">
      <c r="A46" s="27"/>
      <c r="B46" s="74"/>
      <c r="C46" s="74"/>
      <c r="D46" s="74"/>
      <c r="E46" s="74"/>
      <c r="F46" s="75"/>
      <c r="G46" s="76"/>
      <c r="H46" s="77"/>
      <c r="I46" s="78"/>
      <c r="J46" s="79"/>
      <c r="K46" s="80"/>
      <c r="L46" s="81"/>
      <c r="M46" s="82"/>
      <c r="N46" s="27"/>
      <c r="O46" s="81"/>
      <c r="P46" s="70"/>
      <c r="Q46" s="83"/>
      <c r="R46" s="70"/>
      <c r="S46" s="27"/>
      <c r="T46" s="27"/>
      <c r="U46" s="27"/>
      <c r="V46" s="27"/>
      <c r="W46" s="70"/>
      <c r="X46" s="49"/>
      <c r="Y46" s="27"/>
      <c r="Z46" s="27" t="s">
        <v>73</v>
      </c>
      <c r="AA46" s="27" t="e">
        <f>AVERAGE(AA40,AA41)</f>
        <v>#VALUE!</v>
      </c>
      <c r="AB46" s="27"/>
      <c r="AC46" s="27"/>
      <c r="AD46" s="27"/>
      <c r="AE46" s="27"/>
      <c r="AF46" s="27"/>
      <c r="AG46" s="27"/>
      <c r="AH46" s="27"/>
      <c r="AI46" s="27"/>
      <c r="AJ46" s="27"/>
      <c r="AK46" s="27"/>
      <c r="AL46" s="27"/>
      <c r="AR46" s="1" t="e">
        <f t="shared" ref="AR46:AS46" si="30">C44*2.204622</f>
        <v>#VALUE!</v>
      </c>
      <c r="AS46" s="1" t="e">
        <f t="shared" si="30"/>
        <v>#VALUE!</v>
      </c>
    </row>
    <row r="47" spans="1:45" hidden="1">
      <c r="A47" s="27"/>
      <c r="B47" s="74"/>
      <c r="C47" s="74"/>
      <c r="D47" s="74"/>
      <c r="E47" s="74"/>
      <c r="F47" s="84"/>
      <c r="G47" s="76"/>
      <c r="H47" s="77"/>
      <c r="I47" s="78"/>
      <c r="J47" s="79"/>
      <c r="K47" s="80"/>
      <c r="L47" s="81"/>
      <c r="M47" s="82"/>
      <c r="N47" s="27"/>
      <c r="O47" s="81"/>
      <c r="P47" s="70"/>
      <c r="Q47" s="83"/>
      <c r="R47" s="70"/>
      <c r="S47" s="27"/>
      <c r="T47" s="27"/>
      <c r="U47" s="27"/>
      <c r="V47" s="27"/>
      <c r="W47" s="70"/>
      <c r="X47" s="49"/>
      <c r="Y47" s="27"/>
      <c r="Z47" s="27" t="s">
        <v>74</v>
      </c>
      <c r="AA47" s="27" t="e">
        <f>AVERAGE(AA42,AA41)</f>
        <v>#VALUE!</v>
      </c>
      <c r="AB47" s="27"/>
      <c r="AC47" s="27"/>
      <c r="AD47" s="27"/>
      <c r="AE47" s="27"/>
      <c r="AF47" s="27"/>
      <c r="AG47" s="27"/>
      <c r="AH47" s="27"/>
      <c r="AI47" s="27"/>
      <c r="AJ47" s="27"/>
      <c r="AK47" s="27"/>
      <c r="AL47" s="27"/>
      <c r="AR47" s="1">
        <f t="shared" ref="AR47:AS47" si="31">C45*2.204622</f>
        <v>0</v>
      </c>
      <c r="AS47" s="1">
        <f t="shared" si="31"/>
        <v>0</v>
      </c>
    </row>
    <row r="48" spans="1:45" hidden="1">
      <c r="A48" s="27"/>
      <c r="B48" s="85" t="s">
        <v>77</v>
      </c>
      <c r="C48" s="85"/>
      <c r="D48" s="85"/>
      <c r="E48" s="85"/>
      <c r="F48" s="120">
        <f>E12</f>
        <v>0.89812210831896933</v>
      </c>
      <c r="G48" s="121"/>
      <c r="H48" s="27"/>
      <c r="I48" s="122" t="e">
        <f>(((G31*N22)+(G32*N23)+(G33*N24)+(G34*N25)+(G35*N26)+(G36*N27)+(G37*N28))/N30)*$E$12</f>
        <v>#DIV/0!</v>
      </c>
      <c r="J48" s="123"/>
      <c r="K48" s="86"/>
      <c r="L48" s="81"/>
      <c r="M48" s="27"/>
      <c r="N48" s="27"/>
      <c r="O48" s="81"/>
      <c r="P48" s="27"/>
      <c r="Q48" s="27"/>
      <c r="R48" s="27"/>
      <c r="S48" s="27"/>
      <c r="T48" s="27"/>
      <c r="U48" s="27"/>
      <c r="V48" s="27"/>
      <c r="W48" s="27"/>
      <c r="X48" s="49"/>
      <c r="Y48" s="27"/>
      <c r="Z48" s="27"/>
      <c r="AA48" s="27"/>
      <c r="AB48" s="27"/>
      <c r="AC48" s="27"/>
      <c r="AD48" s="27"/>
      <c r="AE48" s="27"/>
      <c r="AF48" s="27"/>
      <c r="AG48" s="27"/>
      <c r="AH48" s="27"/>
      <c r="AI48" s="27"/>
      <c r="AJ48" s="27"/>
      <c r="AK48" s="27"/>
      <c r="AL48" s="27"/>
      <c r="AR48" s="1">
        <f t="shared" ref="AR48:AS48" si="32">C46*2.204622</f>
        <v>0</v>
      </c>
      <c r="AS48" s="1">
        <f t="shared" si="32"/>
        <v>0</v>
      </c>
    </row>
    <row r="49" spans="1:38" hidden="1">
      <c r="A49" s="27"/>
      <c r="B49" s="85"/>
      <c r="C49" s="85"/>
      <c r="D49" s="85"/>
      <c r="E49" s="85"/>
      <c r="F49" s="87"/>
      <c r="G49" s="88"/>
      <c r="H49" s="27"/>
      <c r="I49" s="87"/>
      <c r="J49" s="88"/>
      <c r="K49" s="80"/>
      <c r="L49" s="81"/>
      <c r="M49" s="27"/>
      <c r="N49" s="27"/>
      <c r="O49" s="81"/>
      <c r="P49" s="27"/>
      <c r="Q49" s="27"/>
      <c r="R49" s="27"/>
      <c r="S49" s="27"/>
      <c r="T49" s="27"/>
      <c r="U49" s="27"/>
      <c r="V49" s="27"/>
      <c r="W49" s="27"/>
      <c r="X49" s="49"/>
      <c r="Y49" s="27"/>
      <c r="Z49" s="27" t="s">
        <v>82</v>
      </c>
      <c r="AA49" s="27"/>
      <c r="AB49" s="27"/>
      <c r="AC49" s="27"/>
      <c r="AD49" s="27"/>
      <c r="AE49" s="27"/>
      <c r="AF49" s="27"/>
      <c r="AG49" s="27"/>
      <c r="AH49" s="27"/>
      <c r="AI49" s="27"/>
      <c r="AJ49" s="27"/>
      <c r="AK49" s="27"/>
      <c r="AL49" s="27"/>
    </row>
    <row r="50" spans="1:38">
      <c r="A50" s="27"/>
      <c r="B50" s="85"/>
      <c r="C50" s="85"/>
      <c r="D50" s="85"/>
      <c r="E50" s="85"/>
      <c r="F50" s="87"/>
      <c r="G50" s="88"/>
      <c r="H50" s="27"/>
      <c r="I50" s="87"/>
      <c r="J50" s="88"/>
      <c r="K50" s="80"/>
      <c r="L50" s="81"/>
      <c r="M50" s="27"/>
      <c r="N50" s="27"/>
      <c r="O50" s="81"/>
      <c r="P50" s="27"/>
      <c r="Q50" s="27"/>
      <c r="R50" s="27"/>
      <c r="S50" s="27"/>
      <c r="T50" s="27"/>
      <c r="U50" s="27"/>
      <c r="V50" s="27"/>
      <c r="W50" s="27"/>
      <c r="X50" s="49"/>
      <c r="Y50" s="27"/>
      <c r="Z50" s="27"/>
      <c r="AA50" s="27"/>
      <c r="AB50" s="27"/>
      <c r="AC50" s="27"/>
      <c r="AD50" s="27"/>
      <c r="AE50" s="27"/>
      <c r="AF50" s="27"/>
      <c r="AG50" s="27"/>
      <c r="AH50" s="27"/>
      <c r="AI50" s="27"/>
      <c r="AJ50" s="27"/>
      <c r="AK50" s="27"/>
      <c r="AL50" s="27"/>
    </row>
    <row r="51" spans="1:38" ht="15" thickBot="1">
      <c r="A51" s="27"/>
      <c r="B51" s="28" t="s">
        <v>19</v>
      </c>
      <c r="C51" s="28"/>
      <c r="D51" s="28"/>
      <c r="E51" s="28"/>
      <c r="F51" s="124"/>
      <c r="G51" s="125"/>
      <c r="H51" s="29"/>
      <c r="I51" s="126"/>
      <c r="J51" s="127"/>
      <c r="K51" s="89"/>
      <c r="L51" s="81"/>
      <c r="M51" s="27"/>
      <c r="N51" s="27"/>
      <c r="O51" s="81"/>
      <c r="P51" s="27"/>
      <c r="Q51" s="27"/>
      <c r="R51" s="27"/>
      <c r="S51" s="27"/>
      <c r="T51" s="27"/>
      <c r="U51" s="27"/>
      <c r="V51" s="27"/>
      <c r="W51" s="27"/>
      <c r="X51" s="27"/>
      <c r="Y51" s="27"/>
      <c r="Z51" s="27" t="s">
        <v>56</v>
      </c>
      <c r="AA51" s="27" t="e">
        <f>((0.000042*X26^2)-(0.02372*X26)+6.1452)</f>
        <v>#VALUE!</v>
      </c>
      <c r="AB51" s="27"/>
      <c r="AC51" s="27"/>
      <c r="AD51" s="27"/>
      <c r="AE51" s="27"/>
      <c r="AF51" s="27"/>
      <c r="AG51" s="27"/>
      <c r="AH51" s="27"/>
      <c r="AI51" s="27"/>
      <c r="AJ51" s="27"/>
      <c r="AK51" s="27"/>
      <c r="AL51" s="27"/>
    </row>
    <row r="52" spans="1:38">
      <c r="A52" s="27"/>
      <c r="B52" s="90" t="s">
        <v>3</v>
      </c>
      <c r="C52" s="90"/>
      <c r="D52" s="90"/>
      <c r="E52" s="90"/>
      <c r="F52" s="128" t="str">
        <f>IF(G22&gt;0,100%," ")</f>
        <v xml:space="preserve"> </v>
      </c>
      <c r="G52" s="129"/>
      <c r="H52" s="91"/>
      <c r="I52" s="128" t="str">
        <f>IF(G22&gt;0,(I48/MAX($F$48:$J$48))," ")</f>
        <v xml:space="preserve"> </v>
      </c>
      <c r="J52" s="129"/>
      <c r="K52" s="92"/>
      <c r="L52" s="93"/>
      <c r="M52" s="54"/>
      <c r="N52" s="54"/>
      <c r="O52" s="93"/>
      <c r="P52" s="54"/>
      <c r="Q52" s="54"/>
      <c r="R52" s="54"/>
      <c r="S52" s="54"/>
      <c r="T52" s="54"/>
      <c r="U52" s="54"/>
      <c r="V52" s="54"/>
      <c r="W52" s="27"/>
      <c r="X52" s="27"/>
      <c r="Y52" s="27"/>
      <c r="Z52" s="27" t="s">
        <v>55</v>
      </c>
      <c r="AA52" s="27" t="e">
        <f>((0.000056*X26^2)-(0.02844*X26)+6.6391)</f>
        <v>#VALUE!</v>
      </c>
      <c r="AB52" s="27"/>
      <c r="AC52" s="27"/>
      <c r="AD52" s="27"/>
      <c r="AE52" s="27"/>
      <c r="AF52" s="27"/>
      <c r="AG52" s="27"/>
      <c r="AH52" s="27"/>
      <c r="AI52" s="27"/>
      <c r="AJ52" s="27"/>
      <c r="AK52" s="27"/>
      <c r="AL52" s="27"/>
    </row>
    <row r="53" spans="1:38" hidden="1">
      <c r="A53" s="27"/>
      <c r="B53" s="90" t="s">
        <v>12</v>
      </c>
      <c r="C53" s="90"/>
      <c r="D53" s="90"/>
      <c r="E53" s="90"/>
      <c r="F53" s="130" t="e">
        <f>E13*F55</f>
        <v>#VALUE!</v>
      </c>
      <c r="G53" s="131"/>
      <c r="H53" s="91"/>
      <c r="I53" s="132" t="s">
        <v>14</v>
      </c>
      <c r="J53" s="133"/>
      <c r="K53" s="92"/>
      <c r="L53" s="93"/>
      <c r="M53" s="54"/>
      <c r="N53" s="54"/>
      <c r="O53" s="93"/>
      <c r="P53" s="54"/>
      <c r="Q53" s="54"/>
      <c r="R53" s="54"/>
      <c r="S53" s="54"/>
      <c r="T53" s="54"/>
      <c r="U53" s="54"/>
      <c r="V53" s="54"/>
      <c r="W53" s="27"/>
      <c r="X53" s="27"/>
      <c r="Y53" s="27"/>
      <c r="Z53" s="27" t="s">
        <v>72</v>
      </c>
      <c r="AA53" s="27" t="e">
        <f>IF(AA51*((0.0023*M26)+0.9644)&lt;AA52,AA52,AA51*((0.0023*M26)+0.9644))</f>
        <v>#VALUE!</v>
      </c>
      <c r="AB53" s="27"/>
      <c r="AC53" s="27"/>
      <c r="AD53" s="27"/>
      <c r="AE53" s="27"/>
      <c r="AF53" s="27"/>
      <c r="AG53" s="27"/>
      <c r="AH53" s="27"/>
      <c r="AI53" s="27"/>
      <c r="AJ53" s="27"/>
      <c r="AK53" s="27"/>
      <c r="AL53" s="27"/>
    </row>
    <row r="54" spans="1:38" hidden="1">
      <c r="A54" s="27"/>
      <c r="B54" s="90" t="s">
        <v>13</v>
      </c>
      <c r="C54" s="90"/>
      <c r="D54" s="90"/>
      <c r="E54" s="90"/>
      <c r="F54" s="130">
        <f>E13</f>
        <v>2.6</v>
      </c>
      <c r="G54" s="131"/>
      <c r="H54" s="91"/>
      <c r="I54" s="134" t="e">
        <f>$E$13/(((G38*N22)+(G39*N23)+(G40*N24)+(G41*N25)+(G42*N26)+(G43*N27)+(G44*N28))/N30)</f>
        <v>#DIV/0!</v>
      </c>
      <c r="J54" s="135"/>
      <c r="K54" s="92"/>
      <c r="L54" s="93"/>
      <c r="M54" s="54"/>
      <c r="N54" s="54"/>
      <c r="O54" s="93"/>
      <c r="P54" s="54"/>
      <c r="Q54" s="54"/>
      <c r="R54" s="54"/>
      <c r="S54" s="54"/>
      <c r="T54" s="54"/>
      <c r="U54" s="54"/>
      <c r="V54" s="54"/>
      <c r="W54" s="27"/>
      <c r="X54" s="27"/>
      <c r="Y54" s="27"/>
      <c r="Z54" s="27" t="s">
        <v>73</v>
      </c>
      <c r="AA54" s="27" t="e">
        <f>AVERAGE(AA51,AA52)</f>
        <v>#VALUE!</v>
      </c>
      <c r="AB54" s="27"/>
      <c r="AC54" s="27"/>
      <c r="AD54" s="27"/>
      <c r="AE54" s="27"/>
      <c r="AF54" s="27"/>
      <c r="AG54" s="27"/>
      <c r="AH54" s="27"/>
      <c r="AI54" s="27"/>
      <c r="AJ54" s="27"/>
      <c r="AK54" s="27"/>
      <c r="AL54" s="27"/>
    </row>
    <row r="55" spans="1:38">
      <c r="A55" s="27"/>
      <c r="B55" s="90" t="s">
        <v>15</v>
      </c>
      <c r="C55" s="90"/>
      <c r="D55" s="90"/>
      <c r="E55" s="90"/>
      <c r="F55" s="128" t="str">
        <f>IF(G22&gt;0,98.7%," ")</f>
        <v xml:space="preserve"> </v>
      </c>
      <c r="G55" s="129"/>
      <c r="H55" s="91"/>
      <c r="I55" s="128" t="str">
        <f>IF(G22&gt;0,(MIN($F$53:$J$53)/I54)," ")</f>
        <v xml:space="preserve"> </v>
      </c>
      <c r="J55" s="129"/>
      <c r="K55" s="92"/>
      <c r="L55" s="93"/>
      <c r="M55" s="54"/>
      <c r="N55" s="54"/>
      <c r="O55" s="93"/>
      <c r="P55" s="54"/>
      <c r="Q55" s="54"/>
      <c r="R55" s="54"/>
      <c r="S55" s="54"/>
      <c r="T55" s="54"/>
      <c r="U55" s="54"/>
      <c r="V55" s="54"/>
      <c r="W55" s="27"/>
      <c r="X55" s="27"/>
      <c r="Y55" s="27"/>
      <c r="Z55" s="27" t="s">
        <v>74</v>
      </c>
      <c r="AA55" s="27" t="e">
        <f>AVERAGE(AA53,AA52)</f>
        <v>#VALUE!</v>
      </c>
      <c r="AB55" s="27"/>
      <c r="AC55" s="27"/>
      <c r="AD55" s="27"/>
      <c r="AE55" s="27"/>
      <c r="AF55" s="27"/>
      <c r="AG55" s="27"/>
      <c r="AH55" s="27"/>
      <c r="AI55" s="27"/>
      <c r="AJ55" s="27"/>
      <c r="AK55" s="27"/>
      <c r="AL55" s="27"/>
    </row>
    <row r="56" spans="1:38" hidden="1">
      <c r="A56" s="27"/>
      <c r="B56" s="94" t="s">
        <v>76</v>
      </c>
      <c r="C56" s="94"/>
      <c r="D56" s="94"/>
      <c r="E56" s="94"/>
      <c r="F56" s="136" t="e">
        <f>S31</f>
        <v>#DIV/0!</v>
      </c>
      <c r="G56" s="137"/>
      <c r="H56" s="91"/>
      <c r="I56" s="136" t="e">
        <f>T31</f>
        <v>#DIV/0!</v>
      </c>
      <c r="J56" s="137"/>
      <c r="K56" s="54"/>
      <c r="L56" s="93"/>
      <c r="M56" s="54"/>
      <c r="N56" s="54"/>
      <c r="O56" s="93"/>
      <c r="P56" s="54"/>
      <c r="Q56" s="54"/>
      <c r="R56" s="54"/>
      <c r="S56" s="54"/>
      <c r="T56" s="54"/>
      <c r="U56" s="54"/>
      <c r="V56" s="54"/>
      <c r="W56" s="27"/>
      <c r="X56" s="27"/>
      <c r="Y56" s="27"/>
      <c r="Z56" s="27"/>
      <c r="AA56" s="27"/>
      <c r="AB56" s="27"/>
      <c r="AC56" s="27"/>
      <c r="AD56" s="27"/>
      <c r="AE56" s="27"/>
      <c r="AF56" s="27"/>
      <c r="AG56" s="27"/>
      <c r="AH56" s="27"/>
      <c r="AI56" s="27"/>
      <c r="AJ56" s="27"/>
      <c r="AK56" s="27"/>
      <c r="AL56" s="27"/>
    </row>
    <row r="57" spans="1:38" hidden="1">
      <c r="A57" s="27"/>
      <c r="B57" s="95" t="s">
        <v>2</v>
      </c>
      <c r="C57" s="95"/>
      <c r="D57" s="95"/>
      <c r="E57" s="95"/>
      <c r="F57" s="138" t="e">
        <f>(F48*115*$E$15)-(F56*F48*115)</f>
        <v>#DIV/0!</v>
      </c>
      <c r="G57" s="139"/>
      <c r="H57" s="91"/>
      <c r="I57" s="138" t="e">
        <f>(I48*115*$E$15)-(I56*I48*115)</f>
        <v>#DIV/0!</v>
      </c>
      <c r="J57" s="139"/>
      <c r="K57" s="96" t="e">
        <f>F57-I57</f>
        <v>#DIV/0!</v>
      </c>
      <c r="L57" s="93"/>
      <c r="M57" s="54"/>
      <c r="N57" s="54"/>
      <c r="O57" s="93"/>
      <c r="P57" s="54"/>
      <c r="Q57" s="54"/>
      <c r="R57" s="54"/>
      <c r="S57" s="54"/>
      <c r="T57" s="54"/>
      <c r="U57" s="54"/>
      <c r="V57" s="54"/>
      <c r="W57" s="27"/>
      <c r="X57" s="27"/>
      <c r="Y57" s="27"/>
      <c r="Z57" s="27" t="s">
        <v>85</v>
      </c>
      <c r="AA57" s="27"/>
      <c r="AB57" s="27"/>
      <c r="AC57" s="27"/>
      <c r="AD57" s="27"/>
      <c r="AE57" s="27"/>
      <c r="AF57" s="27"/>
      <c r="AG57" s="27"/>
      <c r="AH57" s="27"/>
      <c r="AI57" s="27"/>
      <c r="AJ57" s="27"/>
      <c r="AK57" s="27"/>
      <c r="AL57" s="27"/>
    </row>
    <row r="58" spans="1:38" hidden="1">
      <c r="A58" s="27"/>
      <c r="B58" s="90" t="s">
        <v>5</v>
      </c>
      <c r="C58" s="90"/>
      <c r="D58" s="90"/>
      <c r="E58" s="90"/>
      <c r="F58" s="138" t="e">
        <f>(104*$E$15)-(F56*104)-(104/F48*$E$17)</f>
        <v>#DIV/0!</v>
      </c>
      <c r="G58" s="139"/>
      <c r="H58" s="91"/>
      <c r="I58" s="138" t="e">
        <f>(104*$E$15)-(I56*104)-(104/I48*$E$17)</f>
        <v>#DIV/0!</v>
      </c>
      <c r="J58" s="139"/>
      <c r="K58" s="96" t="e">
        <f>F58-I58</f>
        <v>#DIV/0!</v>
      </c>
      <c r="L58" s="93"/>
      <c r="M58" s="54"/>
      <c r="N58" s="54"/>
      <c r="O58" s="93"/>
      <c r="P58" s="54"/>
      <c r="Q58" s="54"/>
      <c r="R58" s="54"/>
      <c r="S58" s="54"/>
      <c r="T58" s="54"/>
      <c r="U58" s="54"/>
      <c r="V58" s="54"/>
      <c r="W58" s="27"/>
      <c r="X58" s="27"/>
      <c r="Y58" s="27"/>
      <c r="Z58" s="27" t="s">
        <v>56</v>
      </c>
      <c r="AA58" s="27" t="e">
        <f>((0.000042*X27^2)-(0.02372*X27)+6.1452)</f>
        <v>#VALUE!</v>
      </c>
      <c r="AB58" s="27"/>
      <c r="AC58" s="27"/>
      <c r="AD58" s="27"/>
      <c r="AE58" s="27"/>
      <c r="AF58" s="27"/>
      <c r="AG58" s="27"/>
      <c r="AH58" s="27"/>
      <c r="AI58" s="27"/>
      <c r="AJ58" s="27"/>
      <c r="AK58" s="27"/>
      <c r="AL58" s="27"/>
    </row>
    <row r="59" spans="1:38" hidden="1">
      <c r="A59" s="27"/>
      <c r="B59" s="97" t="s">
        <v>10</v>
      </c>
      <c r="C59" s="97"/>
      <c r="D59" s="97"/>
      <c r="E59" s="97"/>
      <c r="F59" s="141" t="e">
        <f>(((($E$15)-((1/((F48*115)+23))*((F56*115*F48)+$E$18+$E$16)))))*1000/(1000/(F48*115))</f>
        <v>#DIV/0!</v>
      </c>
      <c r="G59" s="142"/>
      <c r="H59" s="91"/>
      <c r="I59" s="141" t="e">
        <f>(((($E$15)-((1/((I48*115)+23))*((I56*115*I48)+$E$18+$E$16)))))*1000/(1000/(I48*115))</f>
        <v>#DIV/0!</v>
      </c>
      <c r="J59" s="142"/>
      <c r="K59" s="96" t="e">
        <f>F59-I59</f>
        <v>#DIV/0!</v>
      </c>
      <c r="L59" s="98"/>
      <c r="M59" s="98"/>
      <c r="N59" s="98"/>
      <c r="O59" s="98"/>
      <c r="P59" s="98"/>
      <c r="Q59" s="54"/>
      <c r="R59" s="54"/>
      <c r="S59" s="54"/>
      <c r="T59" s="54"/>
      <c r="U59" s="54"/>
      <c r="V59" s="54"/>
      <c r="W59" s="27"/>
      <c r="X59" s="27"/>
      <c r="Y59" s="27"/>
      <c r="Z59" s="27" t="s">
        <v>55</v>
      </c>
      <c r="AA59" s="27" t="e">
        <f>((0.000056*X27^2)-(0.02844*X27)+6.6391)</f>
        <v>#VALUE!</v>
      </c>
      <c r="AB59" s="27"/>
      <c r="AC59" s="27"/>
      <c r="AD59" s="27"/>
      <c r="AE59" s="27"/>
      <c r="AF59" s="27"/>
      <c r="AG59" s="27"/>
      <c r="AH59" s="27"/>
      <c r="AI59" s="27"/>
      <c r="AJ59" s="27"/>
      <c r="AK59" s="27"/>
      <c r="AL59" s="27"/>
    </row>
    <row r="60" spans="1:38" hidden="1">
      <c r="A60" s="27"/>
      <c r="B60" s="97" t="s">
        <v>11</v>
      </c>
      <c r="C60" s="97"/>
      <c r="D60" s="97"/>
      <c r="E60" s="97"/>
      <c r="F60" s="141" t="e">
        <f>(((($E$15)-((1/(F48*(104/F48)))*((F56*(104/F48)*F48)+$E$18+$E$16+(104/F48*$E$17))))*1000/(1000/104)))</f>
        <v>#DIV/0!</v>
      </c>
      <c r="G60" s="142"/>
      <c r="H60" s="91"/>
      <c r="I60" s="141" t="e">
        <f>(((($E$15)-((1/(I48*(104/I48)))*((I56*(104/I48)*I48)+$E$18+$E$16+(104/I48*$E$17))))*1000/(1000/104)))</f>
        <v>#DIV/0!</v>
      </c>
      <c r="J60" s="142"/>
      <c r="K60" s="96" t="e">
        <f>F60-I60</f>
        <v>#DIV/0!</v>
      </c>
      <c r="L60" s="98"/>
      <c r="M60" s="98"/>
      <c r="N60" s="98"/>
      <c r="O60" s="98"/>
      <c r="P60" s="98"/>
      <c r="Q60" s="54"/>
      <c r="R60" s="54"/>
      <c r="S60" s="54"/>
      <c r="T60" s="54"/>
      <c r="U60" s="54"/>
      <c r="V60" s="54"/>
      <c r="W60" s="27"/>
      <c r="X60" s="27"/>
      <c r="Y60" s="27"/>
      <c r="Z60" s="27" t="s">
        <v>72</v>
      </c>
      <c r="AA60" s="27" t="e">
        <f>IF(AA58*((0.0023*M27)+0.9644)&lt;AA59,AA59,AA58*((0.0023*M27)+0.9644))</f>
        <v>#VALUE!</v>
      </c>
      <c r="AB60" s="27"/>
      <c r="AC60" s="27"/>
      <c r="AD60" s="27"/>
      <c r="AE60" s="27"/>
      <c r="AF60" s="27"/>
      <c r="AG60" s="27"/>
      <c r="AH60" s="27"/>
      <c r="AI60" s="27"/>
      <c r="AJ60" s="27"/>
      <c r="AK60" s="27"/>
      <c r="AL60" s="27"/>
    </row>
    <row r="61" spans="1:38">
      <c r="A61" s="27"/>
      <c r="B61" s="90"/>
      <c r="C61" s="90"/>
      <c r="D61" s="90"/>
      <c r="E61" s="90"/>
      <c r="F61" s="99"/>
      <c r="G61" s="100"/>
      <c r="H61" s="91"/>
      <c r="I61" s="143"/>
      <c r="J61" s="144"/>
      <c r="K61" s="54"/>
      <c r="L61" s="93"/>
      <c r="M61" s="54"/>
      <c r="N61" s="54"/>
      <c r="O61" s="93"/>
      <c r="P61" s="54"/>
      <c r="Q61" s="54"/>
      <c r="R61" s="54"/>
      <c r="S61" s="54"/>
      <c r="T61" s="54"/>
      <c r="U61" s="54"/>
      <c r="V61" s="54"/>
      <c r="W61" s="27"/>
      <c r="X61" s="27"/>
      <c r="Y61" s="27"/>
      <c r="Z61" s="27" t="s">
        <v>73</v>
      </c>
      <c r="AA61" s="27" t="e">
        <f>AVERAGE(AA58,AA59)</f>
        <v>#VALUE!</v>
      </c>
      <c r="AB61" s="27"/>
      <c r="AC61" s="27"/>
      <c r="AD61" s="27"/>
      <c r="AE61" s="27"/>
      <c r="AF61" s="27"/>
      <c r="AG61" s="27"/>
      <c r="AH61" s="27"/>
      <c r="AI61" s="27"/>
      <c r="AJ61" s="27"/>
      <c r="AK61" s="27"/>
      <c r="AL61" s="27"/>
    </row>
    <row r="62" spans="1:38">
      <c r="A62" s="27"/>
      <c r="B62" s="91" t="s">
        <v>70</v>
      </c>
      <c r="C62" s="91"/>
      <c r="D62" s="91"/>
      <c r="E62" s="91"/>
      <c r="F62" s="101"/>
      <c r="G62" s="102"/>
      <c r="H62" s="103"/>
      <c r="I62" s="104"/>
      <c r="J62" s="102"/>
      <c r="K62" s="54"/>
      <c r="L62" s="54"/>
      <c r="M62" s="54"/>
      <c r="N62" s="54"/>
      <c r="O62" s="54"/>
      <c r="P62" s="54"/>
      <c r="Q62" s="54"/>
      <c r="R62" s="54"/>
      <c r="S62" s="54"/>
      <c r="T62" s="54"/>
      <c r="U62" s="54"/>
      <c r="V62" s="54"/>
      <c r="W62" s="54"/>
      <c r="X62" s="54"/>
      <c r="Y62" s="54"/>
      <c r="Z62" s="27" t="s">
        <v>74</v>
      </c>
      <c r="AA62" s="27" t="e">
        <f>AVERAGE(AA60,AA59)</f>
        <v>#VALUE!</v>
      </c>
      <c r="AB62" s="54"/>
      <c r="AC62" s="54"/>
      <c r="AD62" s="27"/>
      <c r="AE62" s="27"/>
      <c r="AF62" s="27"/>
      <c r="AG62" s="27"/>
      <c r="AH62" s="27"/>
      <c r="AI62" s="27"/>
      <c r="AJ62" s="27"/>
      <c r="AK62" s="27"/>
      <c r="AL62" s="27"/>
    </row>
    <row r="63" spans="1:38">
      <c r="A63" s="27"/>
      <c r="B63" s="91" t="s">
        <v>20</v>
      </c>
      <c r="C63" s="91"/>
      <c r="D63" s="91"/>
      <c r="E63" s="91"/>
      <c r="F63" s="145" t="str">
        <f>IF(G22&gt;0,(F59-I59)," ")</f>
        <v xml:space="preserve"> </v>
      </c>
      <c r="G63" s="146"/>
      <c r="H63" s="105"/>
      <c r="I63" s="145" t="str">
        <f>IF(G22&gt;0,(I59-F59)," ")</f>
        <v xml:space="preserve"> </v>
      </c>
      <c r="J63" s="146"/>
      <c r="K63" s="54"/>
      <c r="L63" s="106"/>
      <c r="M63" s="54"/>
      <c r="N63" s="54"/>
      <c r="O63" s="54"/>
      <c r="P63" s="54"/>
      <c r="Q63" s="54"/>
      <c r="R63" s="54"/>
      <c r="S63" s="54"/>
      <c r="T63" s="54"/>
      <c r="U63" s="54"/>
      <c r="V63" s="54"/>
      <c r="W63" s="54"/>
      <c r="X63" s="54"/>
      <c r="Y63" s="54"/>
      <c r="Z63" s="54"/>
      <c r="AA63" s="54"/>
      <c r="AB63" s="54"/>
      <c r="AC63" s="54"/>
      <c r="AD63" s="27"/>
      <c r="AE63" s="27"/>
      <c r="AF63" s="27"/>
      <c r="AG63" s="27"/>
      <c r="AH63" s="27"/>
      <c r="AI63" s="27"/>
      <c r="AJ63" s="27"/>
      <c r="AK63" s="27"/>
      <c r="AL63" s="27"/>
    </row>
    <row r="64" spans="1:38" ht="15" thickBot="1">
      <c r="A64" s="27"/>
      <c r="B64" s="107" t="s">
        <v>21</v>
      </c>
      <c r="C64" s="108"/>
      <c r="D64" s="108"/>
      <c r="E64" s="108"/>
      <c r="F64" s="147" t="str">
        <f>IF(G22&gt;0,(F60-I60)," ")</f>
        <v xml:space="preserve"> </v>
      </c>
      <c r="G64" s="148"/>
      <c r="H64" s="109"/>
      <c r="I64" s="147" t="str">
        <f>IF(G22&gt;0,(I60-F60)," ")</f>
        <v xml:space="preserve"> </v>
      </c>
      <c r="J64" s="148"/>
      <c r="K64" s="110"/>
      <c r="L64" s="54"/>
      <c r="M64" s="54"/>
      <c r="N64" s="54"/>
      <c r="O64" s="54"/>
      <c r="P64" s="54"/>
      <c r="Q64" s="54"/>
      <c r="R64" s="54"/>
      <c r="S64" s="54"/>
      <c r="T64" s="54"/>
      <c r="U64" s="54"/>
      <c r="V64" s="54"/>
      <c r="W64" s="54"/>
      <c r="X64" s="54"/>
      <c r="Y64" s="54"/>
      <c r="Z64" s="27" t="s">
        <v>86</v>
      </c>
      <c r="AA64" s="27"/>
      <c r="AB64" s="54"/>
      <c r="AC64" s="54"/>
      <c r="AD64" s="27"/>
      <c r="AE64" s="27"/>
      <c r="AF64" s="27"/>
      <c r="AG64" s="27"/>
      <c r="AH64" s="27"/>
      <c r="AI64" s="54"/>
      <c r="AJ64" s="27"/>
      <c r="AK64" s="27"/>
      <c r="AL64" s="27"/>
    </row>
    <row r="65" spans="1:38">
      <c r="A65" s="27"/>
      <c r="B65" s="111"/>
      <c r="C65" s="111"/>
      <c r="D65" s="111"/>
      <c r="E65" s="111"/>
      <c r="F65" s="112"/>
      <c r="G65" s="113"/>
      <c r="H65" s="114"/>
      <c r="I65" s="113"/>
      <c r="J65" s="113"/>
      <c r="K65" s="54"/>
      <c r="L65" s="54"/>
      <c r="M65" s="54"/>
      <c r="N65" s="54"/>
      <c r="O65" s="54"/>
      <c r="P65" s="54"/>
      <c r="Q65" s="54"/>
      <c r="R65" s="54"/>
      <c r="S65" s="54"/>
      <c r="T65" s="54"/>
      <c r="U65" s="54"/>
      <c r="V65" s="54"/>
      <c r="W65" s="54"/>
      <c r="X65" s="54"/>
      <c r="Y65" s="54"/>
      <c r="Z65" s="27" t="s">
        <v>56</v>
      </c>
      <c r="AA65" s="27" t="e">
        <f>((0.000042*X28^2)-(0.02372*X28)+6.1452)</f>
        <v>#VALUE!</v>
      </c>
      <c r="AB65" s="54"/>
      <c r="AC65" s="54"/>
      <c r="AD65" s="27"/>
      <c r="AE65" s="27"/>
      <c r="AF65" s="27"/>
      <c r="AG65" s="27"/>
      <c r="AH65" s="27"/>
      <c r="AI65" s="27"/>
      <c r="AJ65" s="27"/>
      <c r="AK65" s="27"/>
      <c r="AL65" s="27"/>
    </row>
    <row r="66" spans="1:38">
      <c r="A66" s="27"/>
      <c r="B66" s="140" t="s">
        <v>94</v>
      </c>
      <c r="C66" s="140"/>
      <c r="D66" s="140"/>
      <c r="E66" s="140"/>
      <c r="F66" s="140"/>
      <c r="G66" s="140"/>
      <c r="H66" s="140"/>
      <c r="I66" s="140"/>
      <c r="J66" s="140"/>
      <c r="K66" s="27"/>
      <c r="L66" s="27"/>
      <c r="M66" s="27"/>
      <c r="N66" s="27"/>
      <c r="O66" s="27"/>
      <c r="P66" s="27"/>
      <c r="Q66" s="27"/>
      <c r="R66" s="27"/>
      <c r="S66" s="27"/>
      <c r="T66" s="54"/>
      <c r="U66" s="54"/>
      <c r="V66" s="54"/>
      <c r="W66" s="54"/>
      <c r="X66" s="54"/>
      <c r="Y66" s="54"/>
      <c r="Z66" s="27" t="s">
        <v>55</v>
      </c>
      <c r="AA66" s="27" t="e">
        <f>((0.000056*X28^2)-(0.02844*X28)+6.6391)</f>
        <v>#VALUE!</v>
      </c>
      <c r="AB66" s="54"/>
      <c r="AC66" s="54"/>
      <c r="AD66" s="27"/>
      <c r="AE66" s="27"/>
      <c r="AF66" s="27"/>
      <c r="AG66" s="27"/>
      <c r="AH66" s="27"/>
      <c r="AI66" s="27"/>
      <c r="AJ66" s="27"/>
      <c r="AK66" s="27"/>
      <c r="AL66" s="27"/>
    </row>
    <row r="67" spans="1:38">
      <c r="A67" s="27"/>
      <c r="B67" s="140"/>
      <c r="C67" s="140"/>
      <c r="D67" s="140"/>
      <c r="E67" s="140"/>
      <c r="F67" s="140"/>
      <c r="G67" s="140"/>
      <c r="H67" s="140"/>
      <c r="I67" s="140"/>
      <c r="J67" s="140"/>
      <c r="K67" s="27"/>
      <c r="L67" s="27"/>
      <c r="M67" s="27"/>
      <c r="N67" s="27"/>
      <c r="O67" s="27"/>
      <c r="P67" s="27"/>
      <c r="Q67" s="27"/>
      <c r="R67" s="27"/>
      <c r="S67" s="27"/>
      <c r="T67" s="27"/>
      <c r="U67" s="27"/>
      <c r="V67" s="27"/>
      <c r="W67" s="27"/>
      <c r="X67" s="27"/>
      <c r="Y67" s="27"/>
      <c r="Z67" s="27" t="s">
        <v>72</v>
      </c>
      <c r="AA67" s="27" t="e">
        <f>IF(AA65*((0.0023*M28)+0.9644)&lt;AA66,AA66,AA65*((0.0023*M28)+0.9644))</f>
        <v>#VALUE!</v>
      </c>
      <c r="AB67" s="27"/>
      <c r="AC67" s="27"/>
      <c r="AD67" s="27"/>
      <c r="AE67" s="27"/>
      <c r="AF67" s="27"/>
      <c r="AG67" s="27"/>
      <c r="AH67" s="27"/>
      <c r="AI67" s="27"/>
      <c r="AJ67" s="27"/>
      <c r="AK67" s="27"/>
      <c r="AL67" s="27"/>
    </row>
    <row r="68" spans="1:38">
      <c r="A68" s="27"/>
      <c r="B68" s="140"/>
      <c r="C68" s="140"/>
      <c r="D68" s="140"/>
      <c r="E68" s="140"/>
      <c r="F68" s="140"/>
      <c r="G68" s="140"/>
      <c r="H68" s="140"/>
      <c r="I68" s="140"/>
      <c r="J68" s="140"/>
      <c r="K68" s="27"/>
      <c r="L68" s="27"/>
      <c r="M68" s="27"/>
      <c r="N68" s="27"/>
      <c r="O68" s="27"/>
      <c r="P68" s="27"/>
      <c r="Q68" s="27"/>
      <c r="R68" s="27"/>
      <c r="S68" s="27"/>
      <c r="T68" s="27"/>
      <c r="U68" s="27"/>
      <c r="V68" s="27"/>
      <c r="W68" s="27"/>
      <c r="X68" s="27"/>
      <c r="Y68" s="27"/>
      <c r="Z68" s="27" t="s">
        <v>73</v>
      </c>
      <c r="AA68" s="27" t="e">
        <f>AVERAGE(AA65,AA66)</f>
        <v>#VALUE!</v>
      </c>
      <c r="AB68" s="27"/>
      <c r="AC68" s="27"/>
      <c r="AD68" s="27"/>
      <c r="AE68" s="27"/>
      <c r="AF68" s="27"/>
      <c r="AG68" s="27"/>
      <c r="AH68" s="27"/>
      <c r="AI68" s="27"/>
      <c r="AJ68" s="27"/>
      <c r="AK68" s="27"/>
      <c r="AL68" s="27"/>
    </row>
    <row r="69" spans="1:38" ht="30.6" customHeight="1">
      <c r="A69" s="27"/>
      <c r="B69" s="140"/>
      <c r="C69" s="140"/>
      <c r="D69" s="140"/>
      <c r="E69" s="140"/>
      <c r="F69" s="140"/>
      <c r="G69" s="140"/>
      <c r="H69" s="140"/>
      <c r="I69" s="140"/>
      <c r="J69" s="140"/>
      <c r="K69" s="27"/>
      <c r="L69" s="27"/>
      <c r="M69" s="27"/>
      <c r="N69" s="27"/>
      <c r="O69" s="27"/>
      <c r="P69" s="27"/>
      <c r="Q69" s="27"/>
      <c r="R69" s="27"/>
      <c r="S69" s="27"/>
      <c r="T69" s="27"/>
      <c r="U69" s="27"/>
      <c r="V69" s="27"/>
      <c r="W69" s="27"/>
      <c r="X69" s="27"/>
      <c r="Y69" s="27"/>
      <c r="Z69" s="27" t="s">
        <v>74</v>
      </c>
      <c r="AA69" s="27" t="e">
        <f>AVERAGE(AA67,AA66)</f>
        <v>#VALUE!</v>
      </c>
      <c r="AB69" s="27"/>
      <c r="AC69" s="27"/>
      <c r="AD69" s="27"/>
      <c r="AE69" s="27"/>
      <c r="AF69" s="27"/>
      <c r="AG69" s="27"/>
      <c r="AH69" s="27"/>
      <c r="AI69" s="27"/>
      <c r="AJ69" s="27"/>
      <c r="AK69" s="27"/>
      <c r="AL69" s="27"/>
    </row>
    <row r="70" spans="1:38">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1:38">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2" spans="1:38">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row>
    <row r="76" spans="1:38">
      <c r="F76" s="1" t="s">
        <v>4</v>
      </c>
    </row>
  </sheetData>
  <sheetProtection algorithmName="SHA-512" hashValue="kfu4yBLYNyySqfrI4UbS95pNCa3TZ+AUTEzAfz17vxNOQqrONaUwTepLhFi3shqNKoz1vdEOouNBcZtbMR7S5Q==" saltValue="oOYM3pTYwBfrdssqkjMN8A==" spinCount="100000" sheet="1" objects="1" scenarios="1"/>
  <mergeCells count="30">
    <mergeCell ref="B66:J69"/>
    <mergeCell ref="F58:G58"/>
    <mergeCell ref="I58:J58"/>
    <mergeCell ref="F59:G59"/>
    <mergeCell ref="I59:J59"/>
    <mergeCell ref="F60:G60"/>
    <mergeCell ref="I60:J60"/>
    <mergeCell ref="I61:J61"/>
    <mergeCell ref="F63:G63"/>
    <mergeCell ref="I63:J63"/>
    <mergeCell ref="F64:G64"/>
    <mergeCell ref="I64:J64"/>
    <mergeCell ref="F55:G55"/>
    <mergeCell ref="I55:J55"/>
    <mergeCell ref="F56:G56"/>
    <mergeCell ref="I56:J56"/>
    <mergeCell ref="F57:G57"/>
    <mergeCell ref="I57:J57"/>
    <mergeCell ref="F52:G52"/>
    <mergeCell ref="I52:J52"/>
    <mergeCell ref="F53:G53"/>
    <mergeCell ref="I53:J53"/>
    <mergeCell ref="F54:G54"/>
    <mergeCell ref="I54:J54"/>
    <mergeCell ref="F20:G20"/>
    <mergeCell ref="I20:J20"/>
    <mergeCell ref="F48:G48"/>
    <mergeCell ref="I48:J48"/>
    <mergeCell ref="F51:G51"/>
    <mergeCell ref="I51:J51"/>
  </mergeCells>
  <dataValidations count="8">
    <dataValidation type="whole" operator="lessThanOrEqual" allowBlank="1" showInputMessage="1" showErrorMessage="1" errorTitle="Outside range" error="Please enter a weight until 130 kg" sqref="D29" xr:uid="{972BF1B6-45ED-4708-925F-89D83E144398}">
      <formula1>130</formula1>
    </dataValidation>
    <dataValidation type="list" errorStyle="warning" allowBlank="1" showInputMessage="1" showErrorMessage="1" error="Please double check your entry" sqref="E14" xr:uid="{9111FC26-3EFB-4259-8DE1-259E97D04200}">
      <formula1>$Z$14:$Z$18</formula1>
    </dataValidation>
    <dataValidation type="decimal" errorStyle="warning" allowBlank="1" showInputMessage="1" showErrorMessage="1" error="Please double check your entry" sqref="I22:I29" xr:uid="{BCF8C0E3-92FD-4A4D-A3A6-A5C2872AC3E9}">
      <formula1>0.4</formula1>
      <formula2>1.6</formula2>
    </dataValidation>
    <dataValidation type="decimal" errorStyle="warning" allowBlank="1" showInputMessage="1" showErrorMessage="1" error="Please double check your entry" sqref="G29 J29" xr:uid="{71750080-B7CA-4B5F-85FB-36DA951B97D5}">
      <formula1>30</formula1>
      <formula2>500</formula2>
    </dataValidation>
    <dataValidation type="decimal" errorStyle="warning" allowBlank="1" showInputMessage="1" showErrorMessage="1" error="Please double check your entry" sqref="E17:E18" xr:uid="{B90C4C86-478A-4308-85E7-530068CF9BD5}">
      <formula1>0</formula1>
      <formula2>1000000</formula2>
    </dataValidation>
    <dataValidation type="decimal" errorStyle="warning" allowBlank="1" showInputMessage="1" showErrorMessage="1" error="Please double check your entry" sqref="E15" xr:uid="{BD46898A-5DBB-443D-8982-9626F4C3ECB1}">
      <formula1>0.1</formula1>
      <formula2>1000000</formula2>
    </dataValidation>
    <dataValidation type="decimal" allowBlank="1" showInputMessage="1" showErrorMessage="1" errorTitle="Outside range" error="Please enter a weight between 22.5 to 150 kg" sqref="D22:D28 C22 C24:C28 C23" xr:uid="{D316525B-21AA-4E02-B58E-C01FD1F3137B}">
      <formula1>22.5</formula1>
      <formula2>150</formula2>
    </dataValidation>
    <dataValidation type="decimal" errorStyle="warning" allowBlank="1" showInputMessage="1" showErrorMessage="1" error="Please double check your entry" sqref="G22:G28 J22:J28" xr:uid="{A8B9DB39-072D-4074-8204-E2131488C298}">
      <formula1>1</formula1>
      <formula2>1000000</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Y161"/>
  <sheetViews>
    <sheetView topLeftCell="A148" workbookViewId="0">
      <selection activeCell="D7" sqref="D7"/>
    </sheetView>
  </sheetViews>
  <sheetFormatPr defaultRowHeight="14.4"/>
  <sheetData>
    <row r="6" spans="1:25">
      <c r="F6">
        <v>-0.01</v>
      </c>
      <c r="G6">
        <v>-0.02</v>
      </c>
      <c r="H6" s="1">
        <v>-0.03</v>
      </c>
      <c r="I6" s="1">
        <v>-0.04</v>
      </c>
      <c r="J6" s="1">
        <v>-0.05</v>
      </c>
      <c r="K6" s="1">
        <v>-0.06</v>
      </c>
      <c r="L6" s="1">
        <v>-7.0000000000000007E-2</v>
      </c>
      <c r="M6" s="1">
        <v>-0.08</v>
      </c>
      <c r="N6" s="1">
        <v>-0.09</v>
      </c>
      <c r="O6" s="1">
        <v>-0.1</v>
      </c>
      <c r="P6" s="1">
        <v>-0.11</v>
      </c>
      <c r="Q6" s="1">
        <v>-0.12</v>
      </c>
      <c r="R6" s="1">
        <v>-0.13</v>
      </c>
      <c r="S6" s="1">
        <v>-0.14000000000000001</v>
      </c>
      <c r="T6" s="1">
        <v>-0.15</v>
      </c>
      <c r="U6" s="1">
        <v>-0.16</v>
      </c>
      <c r="V6" s="1">
        <v>-0.17</v>
      </c>
      <c r="W6" s="1">
        <v>-0.18</v>
      </c>
      <c r="X6" s="1">
        <v>-0.19</v>
      </c>
      <c r="Y6" s="1">
        <v>-0.2</v>
      </c>
    </row>
    <row r="7" spans="1:25">
      <c r="A7" s="7">
        <v>70</v>
      </c>
      <c r="B7" s="1" t="s">
        <v>0</v>
      </c>
      <c r="C7" s="4">
        <v>-2.4809999999999999</v>
      </c>
      <c r="D7" s="1">
        <v>-0.29220000000000002</v>
      </c>
      <c r="E7" s="1">
        <v>0.9929</v>
      </c>
      <c r="F7">
        <f>$E7+$D7*F$6+$C7*F$6^2</f>
        <v>0.99557390000000001</v>
      </c>
      <c r="G7" s="1">
        <f t="shared" ref="G7:V16" si="0">$E7+$D7*G$6+$C7*G$6^2</f>
        <v>0.99775159999999996</v>
      </c>
      <c r="H7" s="1">
        <f t="shared" si="0"/>
        <v>0.99943309999999996</v>
      </c>
      <c r="I7" s="1">
        <f t="shared" si="0"/>
        <v>1.0006184</v>
      </c>
      <c r="J7" s="1">
        <f t="shared" si="0"/>
        <v>1.0013074999999998</v>
      </c>
      <c r="K7" s="1">
        <f t="shared" si="0"/>
        <v>1.0015004000000001</v>
      </c>
      <c r="L7" s="1">
        <f t="shared" si="0"/>
        <v>1.0011971000000002</v>
      </c>
      <c r="M7" s="1">
        <f t="shared" si="0"/>
        <v>1.0003975999999999</v>
      </c>
      <c r="N7" s="1">
        <f t="shared" si="0"/>
        <v>0.9991019000000001</v>
      </c>
      <c r="O7" s="1">
        <f t="shared" si="0"/>
        <v>0.99730999999999992</v>
      </c>
      <c r="P7" s="1">
        <f t="shared" si="0"/>
        <v>0.99502190000000001</v>
      </c>
      <c r="Q7" s="1">
        <f t="shared" si="0"/>
        <v>0.99223760000000005</v>
      </c>
      <c r="R7" s="1">
        <f t="shared" si="0"/>
        <v>0.98895709999999992</v>
      </c>
      <c r="S7" s="1">
        <f t="shared" si="0"/>
        <v>0.98518040000000007</v>
      </c>
      <c r="T7" s="1">
        <f t="shared" si="0"/>
        <v>0.98090749999999993</v>
      </c>
      <c r="U7" s="1">
        <f t="shared" si="0"/>
        <v>0.97613839999999996</v>
      </c>
      <c r="V7" s="1">
        <f t="shared" si="0"/>
        <v>0.97087310000000016</v>
      </c>
      <c r="W7" s="1">
        <f t="shared" ref="W7:Y16" si="1">$E7+$D7*W$6+$C7*W$6^2</f>
        <v>0.96511159999999996</v>
      </c>
      <c r="X7" s="1">
        <f t="shared" si="1"/>
        <v>0.95885390000000004</v>
      </c>
      <c r="Y7" s="1">
        <f t="shared" si="1"/>
        <v>0.95209999999999995</v>
      </c>
    </row>
    <row r="8" spans="1:25">
      <c r="A8" s="7">
        <v>110</v>
      </c>
      <c r="B8" s="1" t="s">
        <v>0</v>
      </c>
      <c r="C8" s="1">
        <v>-1.829</v>
      </c>
      <c r="D8" s="1">
        <v>-5.1220000000000002E-2</v>
      </c>
      <c r="E8" s="1">
        <v>0.99990000000000001</v>
      </c>
      <c r="F8" s="1">
        <f t="shared" ref="F8:F16" si="2">$E8+$D8*F$6+$C8*F$6^2</f>
        <v>1.0002293</v>
      </c>
      <c r="G8" s="1">
        <f t="shared" si="0"/>
        <v>1.0001928</v>
      </c>
      <c r="H8" s="1">
        <f t="shared" si="0"/>
        <v>0.99979050000000014</v>
      </c>
      <c r="I8" s="1">
        <f t="shared" si="0"/>
        <v>0.99902240000000009</v>
      </c>
      <c r="J8" s="1">
        <f t="shared" si="0"/>
        <v>0.99788850000000007</v>
      </c>
      <c r="K8" s="1">
        <f t="shared" si="0"/>
        <v>0.99638879999999996</v>
      </c>
      <c r="L8" s="1">
        <f t="shared" si="0"/>
        <v>0.9945233</v>
      </c>
      <c r="M8" s="1">
        <f t="shared" si="0"/>
        <v>0.99229199999999995</v>
      </c>
      <c r="N8" s="1">
        <f t="shared" si="0"/>
        <v>0.98969490000000016</v>
      </c>
      <c r="O8" s="1">
        <f t="shared" si="0"/>
        <v>0.98673200000000005</v>
      </c>
      <c r="P8" s="1">
        <f t="shared" si="0"/>
        <v>0.98340330000000009</v>
      </c>
      <c r="Q8" s="1">
        <f t="shared" si="0"/>
        <v>0.97970880000000005</v>
      </c>
      <c r="R8" s="1">
        <f t="shared" si="0"/>
        <v>0.97564849999999992</v>
      </c>
      <c r="S8" s="1">
        <f t="shared" si="0"/>
        <v>0.97122239999999993</v>
      </c>
      <c r="T8" s="1">
        <f t="shared" si="0"/>
        <v>0.96643050000000008</v>
      </c>
      <c r="U8" s="1">
        <f t="shared" si="0"/>
        <v>0.96127280000000004</v>
      </c>
      <c r="V8" s="1">
        <f t="shared" si="0"/>
        <v>0.95574930000000002</v>
      </c>
      <c r="W8" s="1">
        <f t="shared" si="1"/>
        <v>0.94986000000000004</v>
      </c>
      <c r="X8" s="1">
        <f t="shared" si="1"/>
        <v>0.94360489999999997</v>
      </c>
      <c r="Y8" s="1">
        <f t="shared" si="1"/>
        <v>0.93698399999999993</v>
      </c>
    </row>
    <row r="9" spans="1:25">
      <c r="A9" s="7">
        <v>155</v>
      </c>
      <c r="B9" s="1" t="s">
        <v>0</v>
      </c>
      <c r="C9" s="1">
        <v>-0.1623</v>
      </c>
      <c r="D9" s="1">
        <v>0.33210000000000001</v>
      </c>
      <c r="E9" s="1">
        <v>0.9829</v>
      </c>
      <c r="F9" s="1">
        <f t="shared" si="2"/>
        <v>0.97956277000000003</v>
      </c>
      <c r="G9" s="1">
        <f t="shared" si="0"/>
        <v>0.97619307999999994</v>
      </c>
      <c r="H9" s="1">
        <f t="shared" si="0"/>
        <v>0.97279092999999994</v>
      </c>
      <c r="I9" s="1">
        <f t="shared" si="0"/>
        <v>0.96935632000000005</v>
      </c>
      <c r="J9" s="1">
        <f t="shared" si="0"/>
        <v>0.96588925000000003</v>
      </c>
      <c r="K9" s="1">
        <f t="shared" si="0"/>
        <v>0.96238972</v>
      </c>
      <c r="L9" s="1">
        <f t="shared" si="0"/>
        <v>0.95885772999999996</v>
      </c>
      <c r="M9" s="1">
        <f t="shared" si="0"/>
        <v>0.95529327999999991</v>
      </c>
      <c r="N9" s="1">
        <f t="shared" si="0"/>
        <v>0.95169637000000007</v>
      </c>
      <c r="O9" s="1">
        <f t="shared" si="0"/>
        <v>0.94806699999999999</v>
      </c>
      <c r="P9" s="1">
        <f t="shared" si="0"/>
        <v>0.94440517000000002</v>
      </c>
      <c r="Q9" s="1">
        <f t="shared" si="0"/>
        <v>0.94071088000000003</v>
      </c>
      <c r="R9" s="1">
        <f t="shared" si="0"/>
        <v>0.93698413000000003</v>
      </c>
      <c r="S9" s="1">
        <f t="shared" si="0"/>
        <v>0.93322492000000001</v>
      </c>
      <c r="T9" s="1">
        <f t="shared" si="0"/>
        <v>0.92943324999999999</v>
      </c>
      <c r="U9" s="1">
        <f t="shared" si="0"/>
        <v>0.92560912000000006</v>
      </c>
      <c r="V9" s="1">
        <f t="shared" si="0"/>
        <v>0.92175253000000001</v>
      </c>
      <c r="W9" s="1">
        <f t="shared" si="1"/>
        <v>0.91786347999999995</v>
      </c>
      <c r="X9" s="1">
        <f t="shared" si="1"/>
        <v>0.91394196999999999</v>
      </c>
      <c r="Y9" s="1">
        <f t="shared" si="1"/>
        <v>0.90998799999999991</v>
      </c>
    </row>
    <row r="10" spans="1:25">
      <c r="A10" s="7">
        <v>205</v>
      </c>
      <c r="B10" s="1" t="s">
        <v>0</v>
      </c>
      <c r="C10" s="1">
        <v>0.45340000000000003</v>
      </c>
      <c r="D10" s="1">
        <v>0.625</v>
      </c>
      <c r="E10" s="1">
        <v>0.97789999999999999</v>
      </c>
      <c r="F10" s="1">
        <f t="shared" si="2"/>
        <v>0.97169534000000002</v>
      </c>
      <c r="G10" s="1">
        <f t="shared" si="0"/>
        <v>0.96558136000000006</v>
      </c>
      <c r="H10" s="1">
        <f t="shared" si="0"/>
        <v>0.95955805999999999</v>
      </c>
      <c r="I10" s="1">
        <f t="shared" si="0"/>
        <v>0.95362543999999994</v>
      </c>
      <c r="J10" s="1">
        <f t="shared" si="0"/>
        <v>0.9477835</v>
      </c>
      <c r="K10" s="1">
        <f t="shared" si="0"/>
        <v>0.94203223999999997</v>
      </c>
      <c r="L10" s="1">
        <f t="shared" si="0"/>
        <v>0.93637166000000005</v>
      </c>
      <c r="M10" s="1">
        <f t="shared" si="0"/>
        <v>0.93080175999999992</v>
      </c>
      <c r="N10" s="1">
        <f t="shared" si="0"/>
        <v>0.92532253999999992</v>
      </c>
      <c r="O10" s="1">
        <f t="shared" si="0"/>
        <v>0.91993400000000003</v>
      </c>
      <c r="P10" s="1">
        <f t="shared" si="0"/>
        <v>0.91463614000000004</v>
      </c>
      <c r="Q10" s="1">
        <f t="shared" si="0"/>
        <v>0.90942896000000006</v>
      </c>
      <c r="R10" s="1">
        <f t="shared" si="0"/>
        <v>0.90431245999999998</v>
      </c>
      <c r="S10" s="1">
        <f t="shared" si="0"/>
        <v>0.89928663999999991</v>
      </c>
      <c r="T10" s="1">
        <f t="shared" si="0"/>
        <v>0.89435149999999997</v>
      </c>
      <c r="U10" s="1">
        <f t="shared" si="0"/>
        <v>0.88950704000000003</v>
      </c>
      <c r="V10" s="1">
        <f t="shared" si="0"/>
        <v>0.88475325999999999</v>
      </c>
      <c r="W10" s="1">
        <f t="shared" si="1"/>
        <v>0.88009015999999995</v>
      </c>
      <c r="X10" s="1">
        <f t="shared" si="1"/>
        <v>0.87551773999999993</v>
      </c>
      <c r="Y10" s="1">
        <f t="shared" si="1"/>
        <v>0.87103600000000003</v>
      </c>
    </row>
    <row r="11" spans="1:25">
      <c r="A11" s="7">
        <v>260</v>
      </c>
      <c r="B11" s="1" t="s">
        <v>0</v>
      </c>
      <c r="C11" s="1">
        <v>-2.1671999999999998</v>
      </c>
      <c r="D11" s="1">
        <v>-3.422E-2</v>
      </c>
      <c r="E11" s="1">
        <v>0.99170000000000003</v>
      </c>
      <c r="F11" s="1">
        <f t="shared" si="2"/>
        <v>0.99182548000000004</v>
      </c>
      <c r="G11" s="1">
        <f t="shared" si="0"/>
        <v>0.99151752000000004</v>
      </c>
      <c r="H11" s="1">
        <f t="shared" si="0"/>
        <v>0.99077612000000004</v>
      </c>
      <c r="I11" s="1">
        <f t="shared" si="0"/>
        <v>0.98960128000000003</v>
      </c>
      <c r="J11" s="1">
        <f t="shared" si="0"/>
        <v>0.98799300000000001</v>
      </c>
      <c r="K11" s="1">
        <f t="shared" si="0"/>
        <v>0.98595127999999999</v>
      </c>
      <c r="L11" s="1">
        <f t="shared" si="0"/>
        <v>0.98347612000000006</v>
      </c>
      <c r="M11" s="1">
        <f t="shared" si="0"/>
        <v>0.98056752000000003</v>
      </c>
      <c r="N11" s="1">
        <f t="shared" si="0"/>
        <v>0.97722547999999998</v>
      </c>
      <c r="O11" s="1">
        <f t="shared" si="0"/>
        <v>0.97345000000000004</v>
      </c>
      <c r="P11" s="1">
        <f t="shared" si="0"/>
        <v>0.96924107999999998</v>
      </c>
      <c r="Q11" s="1">
        <f t="shared" si="0"/>
        <v>0.96459872000000002</v>
      </c>
      <c r="R11" s="1">
        <f t="shared" si="0"/>
        <v>0.95952292000000006</v>
      </c>
      <c r="S11" s="1">
        <f t="shared" si="0"/>
        <v>0.95401367999999998</v>
      </c>
      <c r="T11" s="1">
        <f t="shared" si="0"/>
        <v>0.94807100000000011</v>
      </c>
      <c r="U11" s="1">
        <f t="shared" si="0"/>
        <v>0.94169488000000001</v>
      </c>
      <c r="V11" s="1">
        <f t="shared" si="0"/>
        <v>0.93488532000000002</v>
      </c>
      <c r="W11" s="1">
        <f t="shared" si="1"/>
        <v>0.92764232000000013</v>
      </c>
      <c r="X11" s="1">
        <f t="shared" si="1"/>
        <v>0.91996588000000001</v>
      </c>
      <c r="Y11" s="1">
        <f t="shared" si="1"/>
        <v>0.911856</v>
      </c>
    </row>
    <row r="12" spans="1:25">
      <c r="A12" s="7">
        <v>70</v>
      </c>
      <c r="B12" s="1" t="s">
        <v>24</v>
      </c>
      <c r="C12" s="1">
        <v>-0.44359999999999999</v>
      </c>
      <c r="D12" s="1">
        <v>0.14430000000000001</v>
      </c>
      <c r="E12" s="1">
        <v>0.98870000000000002</v>
      </c>
      <c r="F12" s="1">
        <f t="shared" si="2"/>
        <v>0.98721264000000009</v>
      </c>
      <c r="G12" s="1">
        <f t="shared" si="0"/>
        <v>0.98563655999999999</v>
      </c>
      <c r="H12" s="1">
        <f t="shared" si="0"/>
        <v>0.98397175999999997</v>
      </c>
      <c r="I12" s="1">
        <f t="shared" si="0"/>
        <v>0.98221824000000002</v>
      </c>
      <c r="J12" s="1">
        <f t="shared" si="0"/>
        <v>0.98037600000000003</v>
      </c>
      <c r="K12" s="1">
        <f t="shared" si="0"/>
        <v>0.97844503999999999</v>
      </c>
      <c r="L12" s="1">
        <f t="shared" si="0"/>
        <v>0.97642536000000002</v>
      </c>
      <c r="M12" s="1">
        <f t="shared" si="0"/>
        <v>0.97431696000000001</v>
      </c>
      <c r="N12" s="1">
        <f t="shared" si="0"/>
        <v>0.97211984000000007</v>
      </c>
      <c r="O12" s="1">
        <f t="shared" si="0"/>
        <v>0.96983399999999997</v>
      </c>
      <c r="P12" s="1">
        <f t="shared" si="0"/>
        <v>0.96745943999999995</v>
      </c>
      <c r="Q12" s="1">
        <f t="shared" si="0"/>
        <v>0.96499615999999999</v>
      </c>
      <c r="R12" s="1">
        <f t="shared" si="0"/>
        <v>0.9624441600000001</v>
      </c>
      <c r="S12" s="1">
        <f t="shared" si="0"/>
        <v>0.95980343999999995</v>
      </c>
      <c r="T12" s="1">
        <f t="shared" si="0"/>
        <v>0.95707399999999998</v>
      </c>
      <c r="U12" s="1">
        <f t="shared" si="0"/>
        <v>0.95425584000000008</v>
      </c>
      <c r="V12" s="1">
        <f t="shared" si="0"/>
        <v>0.95134896000000002</v>
      </c>
      <c r="W12" s="1">
        <f t="shared" si="1"/>
        <v>0.94835335999999992</v>
      </c>
      <c r="X12" s="1">
        <f t="shared" si="1"/>
        <v>0.94526904</v>
      </c>
      <c r="Y12" s="1">
        <f t="shared" si="1"/>
        <v>0.94209600000000004</v>
      </c>
    </row>
    <row r="13" spans="1:25">
      <c r="A13" s="7">
        <v>110</v>
      </c>
      <c r="B13" s="1" t="s">
        <v>24</v>
      </c>
      <c r="C13" s="1">
        <v>-0.45350000000000001</v>
      </c>
      <c r="D13" s="1">
        <v>0.14760000000000001</v>
      </c>
      <c r="E13" s="1">
        <v>0.98899999999999999</v>
      </c>
      <c r="F13" s="1">
        <f t="shared" si="2"/>
        <v>0.9874786499999999</v>
      </c>
      <c r="G13" s="1">
        <f t="shared" si="0"/>
        <v>0.98586660000000004</v>
      </c>
      <c r="H13" s="1">
        <f t="shared" si="0"/>
        <v>0.98416384999999995</v>
      </c>
      <c r="I13" s="1">
        <f t="shared" si="0"/>
        <v>0.98237039999999998</v>
      </c>
      <c r="J13" s="1">
        <f t="shared" si="0"/>
        <v>0.98048624999999989</v>
      </c>
      <c r="K13" s="1">
        <f t="shared" si="0"/>
        <v>0.97851140000000003</v>
      </c>
      <c r="L13" s="1">
        <f t="shared" si="0"/>
        <v>0.97644584999999995</v>
      </c>
      <c r="M13" s="1">
        <f t="shared" si="0"/>
        <v>0.97428959999999998</v>
      </c>
      <c r="N13" s="1">
        <f t="shared" si="0"/>
        <v>0.97204265000000001</v>
      </c>
      <c r="O13" s="1">
        <f t="shared" si="0"/>
        <v>0.96970500000000004</v>
      </c>
      <c r="P13" s="1">
        <f t="shared" si="0"/>
        <v>0.96727664999999996</v>
      </c>
      <c r="Q13" s="1">
        <f t="shared" si="0"/>
        <v>0.96475759999999999</v>
      </c>
      <c r="R13" s="1">
        <f t="shared" si="0"/>
        <v>0.96214785000000003</v>
      </c>
      <c r="S13" s="1">
        <f t="shared" si="0"/>
        <v>0.95944739999999995</v>
      </c>
      <c r="T13" s="1">
        <f t="shared" si="0"/>
        <v>0.95665624999999999</v>
      </c>
      <c r="U13" s="1">
        <f t="shared" si="0"/>
        <v>0.95377440000000002</v>
      </c>
      <c r="V13" s="1">
        <f t="shared" si="0"/>
        <v>0.95080184999999995</v>
      </c>
      <c r="W13" s="1">
        <f t="shared" si="1"/>
        <v>0.94773859999999999</v>
      </c>
      <c r="X13" s="1">
        <f t="shared" si="1"/>
        <v>0.94458465000000003</v>
      </c>
      <c r="Y13" s="1">
        <f t="shared" si="1"/>
        <v>0.94133999999999995</v>
      </c>
    </row>
    <row r="14" spans="1:25">
      <c r="A14" s="7">
        <v>155</v>
      </c>
      <c r="B14" s="1" t="s">
        <v>24</v>
      </c>
      <c r="C14" s="1">
        <v>-0.77439999999999998</v>
      </c>
      <c r="D14" s="1">
        <v>0.2407</v>
      </c>
      <c r="E14" s="1">
        <v>0.98370000000000002</v>
      </c>
      <c r="F14" s="1">
        <f t="shared" si="2"/>
        <v>0.98121555999999999</v>
      </c>
      <c r="G14" s="1">
        <f t="shared" si="0"/>
        <v>0.97857623999999999</v>
      </c>
      <c r="H14" s="1">
        <f t="shared" si="0"/>
        <v>0.97578204000000002</v>
      </c>
      <c r="I14" s="1">
        <f t="shared" si="0"/>
        <v>0.97283296000000008</v>
      </c>
      <c r="J14" s="1">
        <f t="shared" si="0"/>
        <v>0.96972899999999995</v>
      </c>
      <c r="K14" s="1">
        <f t="shared" si="0"/>
        <v>0.96647016000000008</v>
      </c>
      <c r="L14" s="1">
        <f t="shared" si="0"/>
        <v>0.96305644000000001</v>
      </c>
      <c r="M14" s="1">
        <f t="shared" si="0"/>
        <v>0.95948783999999998</v>
      </c>
      <c r="N14" s="1">
        <f t="shared" si="0"/>
        <v>0.95576435999999998</v>
      </c>
      <c r="O14" s="1">
        <f t="shared" si="0"/>
        <v>0.95188600000000001</v>
      </c>
      <c r="P14" s="1">
        <f t="shared" si="0"/>
        <v>0.94785276000000007</v>
      </c>
      <c r="Q14" s="1">
        <f t="shared" si="0"/>
        <v>0.94366463999999994</v>
      </c>
      <c r="R14" s="1">
        <f t="shared" si="0"/>
        <v>0.93932164000000007</v>
      </c>
      <c r="S14" s="1">
        <f t="shared" si="0"/>
        <v>0.93482376</v>
      </c>
      <c r="T14" s="1">
        <f t="shared" si="0"/>
        <v>0.93017099999999997</v>
      </c>
      <c r="U14" s="1">
        <f t="shared" si="0"/>
        <v>0.92536336000000008</v>
      </c>
      <c r="V14" s="1">
        <f t="shared" si="0"/>
        <v>0.92040084</v>
      </c>
      <c r="W14" s="1">
        <f t="shared" si="1"/>
        <v>0.91528344000000006</v>
      </c>
      <c r="X14" s="1">
        <f t="shared" si="1"/>
        <v>0.91001116000000004</v>
      </c>
      <c r="Y14" s="1">
        <f t="shared" si="1"/>
        <v>0.90458400000000005</v>
      </c>
    </row>
    <row r="15" spans="1:25">
      <c r="A15" s="7">
        <v>205</v>
      </c>
      <c r="B15" s="1" t="s">
        <v>24</v>
      </c>
      <c r="C15" s="1">
        <v>-0.64300000000000002</v>
      </c>
      <c r="D15" s="1">
        <v>0.25409999999999999</v>
      </c>
      <c r="E15" s="1">
        <v>0.9768</v>
      </c>
      <c r="F15" s="1">
        <f t="shared" si="2"/>
        <v>0.97419469999999997</v>
      </c>
      <c r="G15" s="1">
        <f t="shared" si="0"/>
        <v>0.97146080000000001</v>
      </c>
      <c r="H15" s="1">
        <f t="shared" si="0"/>
        <v>0.96859829999999991</v>
      </c>
      <c r="I15" s="1">
        <f t="shared" si="0"/>
        <v>0.9656072</v>
      </c>
      <c r="J15" s="1">
        <f t="shared" si="0"/>
        <v>0.96248750000000005</v>
      </c>
      <c r="K15" s="1">
        <f t="shared" si="0"/>
        <v>0.95923920000000007</v>
      </c>
      <c r="L15" s="1">
        <f t="shared" si="0"/>
        <v>0.95586230000000005</v>
      </c>
      <c r="M15" s="1">
        <f t="shared" si="0"/>
        <v>0.9523568</v>
      </c>
      <c r="N15" s="1">
        <f t="shared" si="0"/>
        <v>0.94872269999999992</v>
      </c>
      <c r="O15" s="1">
        <f t="shared" si="0"/>
        <v>0.94495999999999991</v>
      </c>
      <c r="P15" s="1">
        <f t="shared" si="0"/>
        <v>0.94106870000000009</v>
      </c>
      <c r="Q15" s="1">
        <f t="shared" si="0"/>
        <v>0.93704880000000002</v>
      </c>
      <c r="R15" s="1">
        <f t="shared" si="0"/>
        <v>0.93290030000000002</v>
      </c>
      <c r="S15" s="1">
        <f t="shared" si="0"/>
        <v>0.92862319999999998</v>
      </c>
      <c r="T15" s="1">
        <f t="shared" si="0"/>
        <v>0.92421750000000003</v>
      </c>
      <c r="U15" s="1">
        <f t="shared" si="0"/>
        <v>0.91968319999999992</v>
      </c>
      <c r="V15" s="1">
        <f t="shared" si="0"/>
        <v>0.91502030000000001</v>
      </c>
      <c r="W15" s="1">
        <f t="shared" si="1"/>
        <v>0.91022880000000006</v>
      </c>
      <c r="X15" s="1">
        <f t="shared" si="1"/>
        <v>0.90530870000000008</v>
      </c>
      <c r="Y15" s="1">
        <f t="shared" si="1"/>
        <v>0.90026000000000006</v>
      </c>
    </row>
    <row r="16" spans="1:25">
      <c r="A16" s="7">
        <v>260</v>
      </c>
      <c r="B16" s="1" t="s">
        <v>24</v>
      </c>
      <c r="C16" s="1">
        <v>-0.8528</v>
      </c>
      <c r="D16" s="1">
        <v>0.16550000000000001</v>
      </c>
      <c r="E16" s="1">
        <v>0.997</v>
      </c>
      <c r="F16" s="1">
        <f t="shared" si="2"/>
        <v>0.99525972000000007</v>
      </c>
      <c r="G16" s="1">
        <f t="shared" si="0"/>
        <v>0.99334887999999999</v>
      </c>
      <c r="H16" s="1">
        <f t="shared" si="0"/>
        <v>0.99126747999999998</v>
      </c>
      <c r="I16" s="1">
        <f t="shared" si="0"/>
        <v>0.98901552000000004</v>
      </c>
      <c r="J16" s="1">
        <f t="shared" si="0"/>
        <v>0.98659299999999994</v>
      </c>
      <c r="K16" s="1">
        <f t="shared" si="0"/>
        <v>0.98399992000000003</v>
      </c>
      <c r="L16" s="1">
        <f t="shared" si="0"/>
        <v>0.98123628000000007</v>
      </c>
      <c r="M16" s="1">
        <f t="shared" si="0"/>
        <v>0.97830207999999996</v>
      </c>
      <c r="N16" s="1">
        <f t="shared" si="0"/>
        <v>0.97519732000000003</v>
      </c>
      <c r="O16" s="1">
        <f t="shared" si="0"/>
        <v>0.97192200000000006</v>
      </c>
      <c r="P16" s="1">
        <f t="shared" si="0"/>
        <v>0.96847611999999994</v>
      </c>
      <c r="Q16" s="1">
        <f t="shared" si="0"/>
        <v>0.96485968</v>
      </c>
      <c r="R16" s="1">
        <f t="shared" si="0"/>
        <v>0.96107268000000001</v>
      </c>
      <c r="S16" s="1">
        <f t="shared" si="0"/>
        <v>0.95711511999999999</v>
      </c>
      <c r="T16" s="1">
        <f t="shared" si="0"/>
        <v>0.95298700000000003</v>
      </c>
      <c r="U16" s="1">
        <f t="shared" si="0"/>
        <v>0.94868832000000003</v>
      </c>
      <c r="V16" s="1">
        <f t="shared" si="0"/>
        <v>0.94421907999999999</v>
      </c>
      <c r="W16" s="1">
        <f t="shared" si="1"/>
        <v>0.93957928000000002</v>
      </c>
      <c r="X16" s="1">
        <f t="shared" si="1"/>
        <v>0.93476891999999989</v>
      </c>
      <c r="Y16" s="1">
        <f t="shared" si="1"/>
        <v>0.92978799999999995</v>
      </c>
    </row>
    <row r="18" spans="3:25">
      <c r="D18" s="1" t="s">
        <v>26</v>
      </c>
      <c r="E18" s="1" t="s">
        <v>25</v>
      </c>
      <c r="F18" s="1">
        <v>-0.01</v>
      </c>
      <c r="G18" s="1">
        <v>-0.02</v>
      </c>
      <c r="H18" s="1">
        <v>-0.03</v>
      </c>
      <c r="I18" s="1">
        <v>-0.04</v>
      </c>
      <c r="J18" s="1">
        <v>-0.05</v>
      </c>
      <c r="K18" s="1">
        <v>-0.06</v>
      </c>
      <c r="L18" s="1">
        <v>-7.0000000000000007E-2</v>
      </c>
      <c r="M18" s="1">
        <v>-0.08</v>
      </c>
      <c r="N18" s="1">
        <v>-0.09</v>
      </c>
      <c r="O18" s="1">
        <v>-0.1</v>
      </c>
      <c r="P18" s="1">
        <v>-0.11</v>
      </c>
      <c r="Q18" s="1">
        <v>-0.12</v>
      </c>
      <c r="R18" s="1">
        <v>-0.13</v>
      </c>
      <c r="S18" s="1">
        <v>-0.14000000000000001</v>
      </c>
      <c r="T18" s="1">
        <v>-0.15</v>
      </c>
      <c r="U18" s="1">
        <v>-0.16</v>
      </c>
      <c r="V18" s="1">
        <v>-0.17</v>
      </c>
      <c r="W18" s="1">
        <v>-0.18</v>
      </c>
      <c r="X18" s="1">
        <v>-0.19</v>
      </c>
      <c r="Y18" s="1">
        <v>-0.2</v>
      </c>
    </row>
    <row r="19" spans="3:25">
      <c r="D19" s="7">
        <v>70</v>
      </c>
      <c r="E19" s="1" t="s">
        <v>0</v>
      </c>
      <c r="F19">
        <v>0.99557390000000001</v>
      </c>
      <c r="G19">
        <v>0.99775159999999996</v>
      </c>
      <c r="H19">
        <v>0.99943309999999996</v>
      </c>
      <c r="I19">
        <v>1.0006184</v>
      </c>
      <c r="J19">
        <v>1.0013074999999998</v>
      </c>
      <c r="K19">
        <v>1.0015004000000001</v>
      </c>
      <c r="L19">
        <v>1.0011971000000002</v>
      </c>
      <c r="M19">
        <v>1.0003975999999999</v>
      </c>
      <c r="N19">
        <v>0.9991019000000001</v>
      </c>
      <c r="O19">
        <v>0.99730999999999992</v>
      </c>
      <c r="P19">
        <v>0.99502190000000001</v>
      </c>
      <c r="Q19">
        <v>0.99223760000000005</v>
      </c>
      <c r="R19">
        <v>0.98895709999999992</v>
      </c>
      <c r="S19">
        <v>0.98518040000000007</v>
      </c>
      <c r="T19">
        <v>0.98090749999999993</v>
      </c>
      <c r="U19">
        <v>0.97613839999999996</v>
      </c>
      <c r="V19">
        <v>0.97087310000000016</v>
      </c>
      <c r="W19">
        <v>0.96511159999999996</v>
      </c>
      <c r="X19">
        <v>0.95885390000000004</v>
      </c>
      <c r="Y19">
        <v>0.95209999999999995</v>
      </c>
    </row>
    <row r="20" spans="3:25">
      <c r="D20" s="7">
        <v>110</v>
      </c>
      <c r="E20" s="1" t="s">
        <v>0</v>
      </c>
      <c r="F20">
        <v>1.0002293</v>
      </c>
      <c r="G20">
        <v>1.0001928</v>
      </c>
      <c r="H20">
        <v>0.99979050000000014</v>
      </c>
      <c r="I20">
        <v>0.99902240000000009</v>
      </c>
      <c r="J20">
        <v>0.99788850000000007</v>
      </c>
      <c r="K20">
        <v>0.99638879999999996</v>
      </c>
      <c r="L20">
        <v>0.9945233</v>
      </c>
      <c r="M20">
        <v>0.99229199999999995</v>
      </c>
      <c r="N20">
        <v>0.98969490000000016</v>
      </c>
      <c r="O20">
        <v>0.98673200000000005</v>
      </c>
      <c r="P20">
        <v>0.98340330000000009</v>
      </c>
      <c r="Q20">
        <v>0.97970880000000005</v>
      </c>
      <c r="R20">
        <v>0.97564849999999992</v>
      </c>
      <c r="S20">
        <v>0.97122239999999993</v>
      </c>
      <c r="T20">
        <v>0.96643050000000008</v>
      </c>
      <c r="U20">
        <v>0.96127280000000004</v>
      </c>
      <c r="V20">
        <v>0.95574930000000002</v>
      </c>
      <c r="W20">
        <v>0.94986000000000004</v>
      </c>
      <c r="X20">
        <v>0.94360489999999997</v>
      </c>
      <c r="Y20">
        <v>0.93698399999999993</v>
      </c>
    </row>
    <row r="21" spans="3:25">
      <c r="D21" s="7">
        <v>155</v>
      </c>
      <c r="E21" s="1" t="s">
        <v>0</v>
      </c>
      <c r="F21">
        <v>0.97956277000000003</v>
      </c>
      <c r="G21">
        <v>0.97619307999999994</v>
      </c>
      <c r="H21">
        <v>0.97279092999999994</v>
      </c>
      <c r="I21">
        <v>0.96935632000000005</v>
      </c>
      <c r="J21">
        <v>0.96588925000000003</v>
      </c>
      <c r="K21">
        <v>0.96238972</v>
      </c>
      <c r="L21">
        <v>0.95885772999999996</v>
      </c>
      <c r="M21">
        <v>0.95529327999999991</v>
      </c>
      <c r="N21">
        <v>0.95169637000000007</v>
      </c>
      <c r="O21">
        <v>0.94806699999999999</v>
      </c>
      <c r="P21">
        <v>0.94440517000000002</v>
      </c>
      <c r="Q21">
        <v>0.94071088000000003</v>
      </c>
      <c r="R21">
        <v>0.93698413000000003</v>
      </c>
      <c r="S21">
        <v>0.93322492000000001</v>
      </c>
      <c r="T21">
        <v>0.92943324999999999</v>
      </c>
      <c r="U21">
        <v>0.92560912000000006</v>
      </c>
      <c r="V21">
        <v>0.92175253000000001</v>
      </c>
      <c r="W21">
        <v>0.91786347999999995</v>
      </c>
      <c r="X21">
        <v>0.91394196999999999</v>
      </c>
      <c r="Y21">
        <v>0.90998799999999991</v>
      </c>
    </row>
    <row r="22" spans="3:25">
      <c r="D22" s="7">
        <v>205</v>
      </c>
      <c r="E22" s="1" t="s">
        <v>0</v>
      </c>
      <c r="F22">
        <v>0.97169534000000002</v>
      </c>
      <c r="G22">
        <v>0.96558136000000006</v>
      </c>
      <c r="H22">
        <v>0.95955805999999999</v>
      </c>
      <c r="I22">
        <v>0.95362543999999994</v>
      </c>
      <c r="J22">
        <v>0.9477835</v>
      </c>
      <c r="K22">
        <v>0.94203223999999997</v>
      </c>
      <c r="L22">
        <v>0.93637166000000005</v>
      </c>
      <c r="M22">
        <v>0.93080175999999992</v>
      </c>
      <c r="N22">
        <v>0.92532253999999992</v>
      </c>
      <c r="O22">
        <v>0.91993400000000003</v>
      </c>
      <c r="P22">
        <v>0.91463614000000004</v>
      </c>
      <c r="Q22">
        <v>0.90942896000000006</v>
      </c>
      <c r="R22">
        <v>0.90431245999999998</v>
      </c>
      <c r="S22">
        <v>0.89928663999999991</v>
      </c>
      <c r="T22">
        <v>0.89435149999999997</v>
      </c>
      <c r="U22">
        <v>0.88950704000000003</v>
      </c>
      <c r="V22">
        <v>0.88475325999999999</v>
      </c>
      <c r="W22">
        <v>0.88009015999999995</v>
      </c>
      <c r="X22">
        <v>0.87551773999999993</v>
      </c>
      <c r="Y22">
        <v>0.87103600000000003</v>
      </c>
    </row>
    <row r="23" spans="3:25">
      <c r="D23" s="7">
        <v>260</v>
      </c>
      <c r="E23" s="1" t="s">
        <v>0</v>
      </c>
      <c r="F23">
        <v>0.99182548000000004</v>
      </c>
      <c r="G23">
        <v>0.99151752000000004</v>
      </c>
      <c r="H23">
        <v>0.99077612000000004</v>
      </c>
      <c r="I23">
        <v>0.98960128000000003</v>
      </c>
      <c r="J23">
        <v>0.98799300000000001</v>
      </c>
      <c r="K23">
        <v>0.98595127999999999</v>
      </c>
      <c r="L23">
        <v>0.98347612000000006</v>
      </c>
      <c r="M23">
        <v>0.98056752000000003</v>
      </c>
      <c r="N23">
        <v>0.97722547999999998</v>
      </c>
      <c r="O23">
        <v>0.97345000000000004</v>
      </c>
      <c r="P23">
        <v>0.96924107999999998</v>
      </c>
      <c r="Q23">
        <v>0.96459872000000002</v>
      </c>
      <c r="R23">
        <v>0.95952292000000006</v>
      </c>
      <c r="S23">
        <v>0.95401367999999998</v>
      </c>
      <c r="T23">
        <v>0.94807100000000011</v>
      </c>
      <c r="U23">
        <v>0.94169488000000001</v>
      </c>
      <c r="V23">
        <v>0.93488532000000002</v>
      </c>
      <c r="W23">
        <v>0.92764232000000013</v>
      </c>
      <c r="X23">
        <v>0.91996588000000001</v>
      </c>
      <c r="Y23">
        <v>0.911856</v>
      </c>
    </row>
    <row r="25" spans="3:25">
      <c r="D25" s="1" t="s">
        <v>26</v>
      </c>
      <c r="E25" s="1" t="s">
        <v>25</v>
      </c>
      <c r="F25" s="1">
        <v>-0.01</v>
      </c>
      <c r="G25" s="1">
        <v>-0.02</v>
      </c>
      <c r="H25" s="1">
        <v>-0.03</v>
      </c>
      <c r="I25" s="1">
        <v>-0.04</v>
      </c>
      <c r="J25" s="1">
        <v>-0.05</v>
      </c>
      <c r="K25" s="1">
        <v>-0.06</v>
      </c>
      <c r="L25" s="1">
        <v>-7.0000000000000007E-2</v>
      </c>
      <c r="M25" s="1">
        <v>-0.08</v>
      </c>
      <c r="N25" s="1">
        <v>-0.09</v>
      </c>
      <c r="O25" s="1">
        <v>-0.1</v>
      </c>
      <c r="P25" s="1">
        <v>-0.11</v>
      </c>
      <c r="Q25" s="1">
        <v>-0.12</v>
      </c>
      <c r="R25" s="1">
        <v>-0.13</v>
      </c>
      <c r="S25" s="1">
        <v>-0.14000000000000001</v>
      </c>
      <c r="T25" s="1">
        <v>-0.15</v>
      </c>
      <c r="U25" s="1">
        <v>-0.16</v>
      </c>
      <c r="V25" s="1">
        <v>-0.17</v>
      </c>
      <c r="W25" s="1">
        <v>-0.18</v>
      </c>
      <c r="X25" s="1">
        <v>-0.19</v>
      </c>
      <c r="Y25" s="1">
        <v>-0.2</v>
      </c>
    </row>
    <row r="26" spans="3:25">
      <c r="D26" s="7">
        <v>70</v>
      </c>
      <c r="E26" s="1" t="s">
        <v>24</v>
      </c>
      <c r="F26">
        <v>0.98721264000000009</v>
      </c>
      <c r="G26">
        <v>0.98563655999999999</v>
      </c>
      <c r="H26">
        <v>0.98397175999999997</v>
      </c>
      <c r="I26">
        <v>0.98221824000000002</v>
      </c>
      <c r="J26">
        <v>0.98037600000000003</v>
      </c>
      <c r="K26">
        <v>0.97844503999999999</v>
      </c>
      <c r="L26">
        <v>0.97642536000000002</v>
      </c>
      <c r="M26">
        <v>0.97431696000000001</v>
      </c>
      <c r="N26">
        <v>0.97211984000000007</v>
      </c>
      <c r="O26">
        <v>0.96983399999999997</v>
      </c>
      <c r="P26">
        <v>0.96745943999999995</v>
      </c>
      <c r="Q26">
        <v>0.96499615999999999</v>
      </c>
      <c r="R26">
        <v>0.9624441600000001</v>
      </c>
      <c r="S26">
        <v>0.95980343999999995</v>
      </c>
      <c r="T26">
        <v>0.95707399999999998</v>
      </c>
      <c r="U26">
        <v>0.95425584000000008</v>
      </c>
      <c r="V26">
        <v>0.95134896000000002</v>
      </c>
      <c r="W26">
        <v>0.94835335999999992</v>
      </c>
      <c r="X26">
        <v>0.94526904</v>
      </c>
      <c r="Y26">
        <v>0.94209600000000004</v>
      </c>
    </row>
    <row r="27" spans="3:25">
      <c r="D27" s="7">
        <v>110</v>
      </c>
      <c r="E27" s="1" t="s">
        <v>24</v>
      </c>
      <c r="F27">
        <v>0.9874786499999999</v>
      </c>
      <c r="G27">
        <v>0.98586660000000004</v>
      </c>
      <c r="H27">
        <v>0.98416384999999995</v>
      </c>
      <c r="I27">
        <v>0.98237039999999998</v>
      </c>
      <c r="J27">
        <v>0.98048624999999989</v>
      </c>
      <c r="K27">
        <v>0.97851140000000003</v>
      </c>
      <c r="L27">
        <v>0.97644584999999995</v>
      </c>
      <c r="M27">
        <v>0.97428959999999998</v>
      </c>
      <c r="N27">
        <v>0.97204265000000001</v>
      </c>
      <c r="O27">
        <v>0.96970500000000004</v>
      </c>
      <c r="P27">
        <v>0.96727664999999996</v>
      </c>
      <c r="Q27">
        <v>0.96475759999999999</v>
      </c>
      <c r="R27">
        <v>0.96214785000000003</v>
      </c>
      <c r="S27">
        <v>0.95944739999999995</v>
      </c>
      <c r="T27">
        <v>0.95665624999999999</v>
      </c>
      <c r="U27">
        <v>0.95377440000000002</v>
      </c>
      <c r="V27">
        <v>0.95080184999999995</v>
      </c>
      <c r="W27">
        <v>0.94773859999999999</v>
      </c>
      <c r="X27">
        <v>0.94458465000000003</v>
      </c>
      <c r="Y27">
        <v>0.94133999999999995</v>
      </c>
    </row>
    <row r="28" spans="3:25">
      <c r="D28" s="7">
        <v>155</v>
      </c>
      <c r="E28" s="1" t="s">
        <v>24</v>
      </c>
      <c r="F28">
        <v>0.98121555999999999</v>
      </c>
      <c r="G28">
        <v>0.97857623999999999</v>
      </c>
      <c r="H28">
        <v>0.97578204000000002</v>
      </c>
      <c r="I28">
        <v>0.97283296000000008</v>
      </c>
      <c r="J28">
        <v>0.96972899999999995</v>
      </c>
      <c r="K28">
        <v>0.96647016000000008</v>
      </c>
      <c r="L28">
        <v>0.96305644000000001</v>
      </c>
      <c r="M28">
        <v>0.95948783999999998</v>
      </c>
      <c r="N28">
        <v>0.95576435999999998</v>
      </c>
      <c r="O28">
        <v>0.95188600000000001</v>
      </c>
      <c r="P28">
        <v>0.94785276000000007</v>
      </c>
      <c r="Q28">
        <v>0.94366463999999994</v>
      </c>
      <c r="R28">
        <v>0.93932164000000007</v>
      </c>
      <c r="S28">
        <v>0.93482376</v>
      </c>
      <c r="T28">
        <v>0.93017099999999997</v>
      </c>
      <c r="U28">
        <v>0.92536336000000008</v>
      </c>
      <c r="V28">
        <v>0.92040084</v>
      </c>
      <c r="W28">
        <v>0.91528344000000006</v>
      </c>
      <c r="X28">
        <v>0.91001116000000004</v>
      </c>
      <c r="Y28">
        <v>0.90458400000000005</v>
      </c>
    </row>
    <row r="29" spans="3:25">
      <c r="D29" s="7">
        <v>205</v>
      </c>
      <c r="E29" s="1" t="s">
        <v>24</v>
      </c>
      <c r="F29">
        <v>0.97419469999999997</v>
      </c>
      <c r="G29">
        <v>0.97146080000000001</v>
      </c>
      <c r="H29">
        <v>0.96859829999999991</v>
      </c>
      <c r="I29">
        <v>0.9656072</v>
      </c>
      <c r="J29">
        <v>0.96248750000000005</v>
      </c>
      <c r="K29">
        <v>0.95923920000000007</v>
      </c>
      <c r="L29">
        <v>0.95586230000000005</v>
      </c>
      <c r="M29">
        <v>0.9523568</v>
      </c>
      <c r="N29">
        <v>0.94872269999999992</v>
      </c>
      <c r="O29">
        <v>0.94495999999999991</v>
      </c>
      <c r="P29">
        <v>0.94106870000000009</v>
      </c>
      <c r="Q29">
        <v>0.93704880000000002</v>
      </c>
      <c r="R29">
        <v>0.93290030000000002</v>
      </c>
      <c r="S29">
        <v>0.92862319999999998</v>
      </c>
      <c r="T29">
        <v>0.92421750000000003</v>
      </c>
      <c r="U29">
        <v>0.91968319999999992</v>
      </c>
      <c r="V29">
        <v>0.91502030000000001</v>
      </c>
      <c r="W29">
        <v>0.91022880000000006</v>
      </c>
      <c r="X29">
        <v>0.90530870000000008</v>
      </c>
      <c r="Y29">
        <v>0.90026000000000006</v>
      </c>
    </row>
    <row r="30" spans="3:25">
      <c r="D30" s="7">
        <v>260</v>
      </c>
      <c r="E30" s="1" t="s">
        <v>24</v>
      </c>
      <c r="F30">
        <v>0.99525972000000007</v>
      </c>
      <c r="G30">
        <v>0.99334887999999999</v>
      </c>
      <c r="H30">
        <v>0.99126747999999998</v>
      </c>
      <c r="I30">
        <v>0.98901552000000004</v>
      </c>
      <c r="J30">
        <v>0.98659299999999994</v>
      </c>
      <c r="K30">
        <v>0.98399992000000003</v>
      </c>
      <c r="L30">
        <v>0.98123628000000007</v>
      </c>
      <c r="M30">
        <v>0.97830207999999996</v>
      </c>
      <c r="N30">
        <v>0.97519732000000003</v>
      </c>
      <c r="O30">
        <v>0.97192200000000006</v>
      </c>
      <c r="P30">
        <v>0.96847611999999994</v>
      </c>
      <c r="Q30">
        <v>0.96485968</v>
      </c>
      <c r="R30">
        <v>0.96107268000000001</v>
      </c>
      <c r="S30">
        <v>0.95711511999999999</v>
      </c>
      <c r="T30">
        <v>0.95298700000000003</v>
      </c>
      <c r="U30">
        <v>0.94868832000000003</v>
      </c>
      <c r="V30">
        <v>0.94421907999999999</v>
      </c>
      <c r="W30">
        <v>0.93957928000000002</v>
      </c>
      <c r="X30">
        <v>0.93476891999999989</v>
      </c>
      <c r="Y30">
        <v>0.92978799999999995</v>
      </c>
    </row>
    <row r="31" spans="3:25">
      <c r="C31" s="1">
        <v>1.0002293</v>
      </c>
      <c r="D31" s="1">
        <v>1.0001928</v>
      </c>
      <c r="E31" s="1">
        <v>0.99979050000000014</v>
      </c>
      <c r="F31" s="1">
        <v>0.99902240000000009</v>
      </c>
      <c r="G31" s="1">
        <v>0.99788850000000007</v>
      </c>
      <c r="H31" s="1">
        <v>0.99638879999999996</v>
      </c>
      <c r="I31" s="1">
        <v>0.9945233</v>
      </c>
      <c r="J31" s="1">
        <v>0.99229199999999995</v>
      </c>
      <c r="K31" s="1">
        <v>0.98969490000000016</v>
      </c>
      <c r="L31" s="1">
        <v>0.98673200000000005</v>
      </c>
      <c r="M31" s="1">
        <v>0.98340330000000009</v>
      </c>
      <c r="N31" s="1">
        <v>0.97970880000000005</v>
      </c>
      <c r="O31" s="1">
        <v>0.97564849999999992</v>
      </c>
      <c r="P31" s="1">
        <v>0.97122239999999993</v>
      </c>
      <c r="Q31" s="1">
        <v>0.96643050000000008</v>
      </c>
      <c r="R31" s="1">
        <v>0.96127280000000004</v>
      </c>
      <c r="S31" s="1">
        <v>0.95574930000000002</v>
      </c>
      <c r="T31" s="1">
        <v>0.94986000000000004</v>
      </c>
      <c r="U31" s="1">
        <v>0.94360489999999997</v>
      </c>
      <c r="V31" s="1">
        <v>0.93698399999999993</v>
      </c>
    </row>
    <row r="32" spans="3:25">
      <c r="C32" s="1">
        <v>0.97956277000000003</v>
      </c>
      <c r="D32" s="1">
        <v>0.97619307999999994</v>
      </c>
      <c r="E32" s="1">
        <v>0.97279092999999994</v>
      </c>
      <c r="F32" s="1">
        <v>0.96935632000000005</v>
      </c>
      <c r="G32" s="1">
        <v>0.96588925000000003</v>
      </c>
      <c r="H32" s="1">
        <v>0.96238972</v>
      </c>
      <c r="I32" s="1">
        <v>0.95885772999999996</v>
      </c>
      <c r="J32" s="1">
        <v>0.95529327999999991</v>
      </c>
      <c r="K32" s="1">
        <v>0.95169637000000007</v>
      </c>
      <c r="L32" s="1">
        <v>0.94806699999999999</v>
      </c>
      <c r="M32" s="1">
        <v>0.94440517000000002</v>
      </c>
      <c r="N32" s="1">
        <v>0.94071088000000003</v>
      </c>
      <c r="O32" s="1">
        <v>0.93698413000000003</v>
      </c>
      <c r="P32" s="1">
        <v>0.93322492000000001</v>
      </c>
      <c r="Q32" s="1">
        <v>0.92943324999999999</v>
      </c>
      <c r="R32" s="1">
        <v>0.92560912000000006</v>
      </c>
      <c r="S32" s="1">
        <v>0.92175253000000001</v>
      </c>
      <c r="T32" s="1">
        <v>0.91786347999999995</v>
      </c>
      <c r="U32" s="1">
        <v>0.91394196999999999</v>
      </c>
      <c r="V32" s="1">
        <v>0.90998799999999991</v>
      </c>
    </row>
    <row r="33" spans="1:22">
      <c r="A33" s="7">
        <v>205</v>
      </c>
      <c r="B33" s="1" t="s">
        <v>0</v>
      </c>
      <c r="C33" s="1">
        <v>0.97169534000000002</v>
      </c>
      <c r="D33" s="1">
        <v>0.96558136000000006</v>
      </c>
      <c r="E33" s="1">
        <v>0.95955805999999999</v>
      </c>
      <c r="F33" s="1">
        <v>0.95362543999999994</v>
      </c>
      <c r="G33" s="1">
        <v>0.9477835</v>
      </c>
      <c r="H33" s="1">
        <v>0.94203223999999997</v>
      </c>
      <c r="I33" s="1">
        <v>0.93637166000000005</v>
      </c>
      <c r="J33" s="1">
        <v>0.93080175999999992</v>
      </c>
      <c r="K33" s="1">
        <v>0.92532253999999992</v>
      </c>
      <c r="L33" s="1">
        <v>0.91993400000000003</v>
      </c>
      <c r="M33" s="1">
        <v>0.91463614000000004</v>
      </c>
      <c r="N33" s="1">
        <v>0.90942896000000006</v>
      </c>
      <c r="O33" s="1">
        <v>0.90431245999999998</v>
      </c>
      <c r="P33" s="1">
        <v>0.89928663999999991</v>
      </c>
      <c r="Q33" s="1">
        <v>0.89435149999999997</v>
      </c>
      <c r="R33" s="1">
        <v>0.88950704000000003</v>
      </c>
      <c r="S33" s="1">
        <v>0.88475325999999999</v>
      </c>
      <c r="T33" s="1">
        <v>0.88009015999999995</v>
      </c>
      <c r="U33" s="1">
        <v>0.87551773999999993</v>
      </c>
      <c r="V33" s="1">
        <v>0.87103600000000003</v>
      </c>
    </row>
    <row r="34" spans="1:22">
      <c r="A34" s="7">
        <v>260</v>
      </c>
      <c r="B34" s="1" t="s">
        <v>0</v>
      </c>
      <c r="C34" s="1">
        <v>0.99182548000000004</v>
      </c>
      <c r="D34" s="1">
        <v>0.99151752000000004</v>
      </c>
      <c r="E34" s="1">
        <v>0.99077612000000004</v>
      </c>
      <c r="F34" s="1">
        <v>0.98960128000000003</v>
      </c>
      <c r="G34" s="1">
        <v>0.98799300000000001</v>
      </c>
      <c r="H34" s="1">
        <v>0.98595127999999999</v>
      </c>
      <c r="I34" s="1">
        <v>0.98347612000000006</v>
      </c>
      <c r="J34" s="1">
        <v>0.98056752000000003</v>
      </c>
      <c r="K34" s="1">
        <v>0.97722547999999998</v>
      </c>
      <c r="L34" s="1">
        <v>0.97345000000000004</v>
      </c>
      <c r="M34" s="1">
        <v>0.96924107999999998</v>
      </c>
      <c r="N34" s="1">
        <v>0.96459872000000002</v>
      </c>
      <c r="O34" s="1">
        <v>0.95952292000000006</v>
      </c>
      <c r="P34" s="1">
        <v>0.95401367999999998</v>
      </c>
      <c r="Q34" s="1">
        <v>0.94807100000000011</v>
      </c>
      <c r="R34" s="1">
        <v>0.94169488000000001</v>
      </c>
      <c r="S34" s="1">
        <v>0.93488532000000002</v>
      </c>
      <c r="T34" s="1">
        <v>0.92764232000000013</v>
      </c>
      <c r="U34" s="1">
        <v>0.91996588000000001</v>
      </c>
      <c r="V34" s="1">
        <v>0.911856</v>
      </c>
    </row>
    <row r="35" spans="1:22">
      <c r="A35" s="1" t="s">
        <v>26</v>
      </c>
      <c r="B35" s="1" t="s">
        <v>25</v>
      </c>
      <c r="C35" s="1" t="s">
        <v>28</v>
      </c>
      <c r="D35" s="1" t="s">
        <v>27</v>
      </c>
      <c r="E35" s="1"/>
      <c r="F35" s="1" t="s">
        <v>26</v>
      </c>
      <c r="G35" s="1" t="s">
        <v>25</v>
      </c>
      <c r="H35" s="1" t="s">
        <v>28</v>
      </c>
      <c r="I35" s="1" t="s">
        <v>27</v>
      </c>
      <c r="J35" s="1"/>
      <c r="K35" s="1"/>
      <c r="L35" s="1"/>
      <c r="M35" s="1"/>
      <c r="N35" s="1"/>
      <c r="O35" s="1"/>
      <c r="P35" s="1"/>
      <c r="Q35" s="1"/>
      <c r="R35" s="1"/>
      <c r="S35" s="1"/>
      <c r="T35" s="1"/>
      <c r="U35" s="1"/>
      <c r="V35" s="1"/>
    </row>
    <row r="36" spans="1:22">
      <c r="A36" s="7">
        <v>70</v>
      </c>
      <c r="B36" s="1" t="s">
        <v>0</v>
      </c>
      <c r="C36" s="1">
        <v>-0.01</v>
      </c>
      <c r="D36" s="1">
        <v>0.99557390000000001</v>
      </c>
      <c r="F36" s="7">
        <v>70</v>
      </c>
      <c r="G36" s="1" t="s">
        <v>24</v>
      </c>
      <c r="H36" s="1">
        <v>-0.01</v>
      </c>
      <c r="I36" s="1">
        <v>0.98721264000000009</v>
      </c>
      <c r="J36" s="1"/>
      <c r="K36" s="1"/>
      <c r="L36" s="1"/>
      <c r="M36" s="1"/>
      <c r="N36" s="1"/>
      <c r="O36" s="1"/>
      <c r="P36" s="1"/>
      <c r="Q36" s="1"/>
      <c r="R36" s="1"/>
      <c r="S36" s="1"/>
      <c r="T36" s="1"/>
      <c r="U36" s="1"/>
      <c r="V36" s="1"/>
    </row>
    <row r="37" spans="1:22">
      <c r="A37" s="7">
        <v>70</v>
      </c>
      <c r="B37" s="1" t="s">
        <v>0</v>
      </c>
      <c r="C37" s="1">
        <v>-0.02</v>
      </c>
      <c r="D37" s="1">
        <v>0.99775159999999996</v>
      </c>
      <c r="F37" s="7">
        <v>70</v>
      </c>
      <c r="G37" s="1" t="s">
        <v>24</v>
      </c>
      <c r="H37" s="1">
        <v>-0.02</v>
      </c>
      <c r="I37" s="1">
        <v>0.98563655999999999</v>
      </c>
    </row>
    <row r="38" spans="1:22">
      <c r="A38" s="7">
        <v>70</v>
      </c>
      <c r="B38" s="1" t="s">
        <v>0</v>
      </c>
      <c r="C38" s="1">
        <v>-0.03</v>
      </c>
      <c r="D38" s="1">
        <v>0.99943309999999996</v>
      </c>
      <c r="F38" s="7">
        <v>70</v>
      </c>
      <c r="G38" s="1" t="s">
        <v>24</v>
      </c>
      <c r="H38" s="1">
        <v>-0.03</v>
      </c>
      <c r="I38" s="1">
        <v>0.98397175999999997</v>
      </c>
    </row>
    <row r="39" spans="1:22">
      <c r="A39" s="7">
        <v>70</v>
      </c>
      <c r="B39" s="1" t="s">
        <v>0</v>
      </c>
      <c r="C39" s="1">
        <v>-0.04</v>
      </c>
      <c r="D39" s="1">
        <v>1.0006184</v>
      </c>
      <c r="F39" s="7">
        <v>70</v>
      </c>
      <c r="G39" s="1" t="s">
        <v>24</v>
      </c>
      <c r="H39" s="1">
        <v>-0.04</v>
      </c>
      <c r="I39" s="1">
        <v>0.98221824000000002</v>
      </c>
    </row>
    <row r="40" spans="1:22">
      <c r="A40" s="7">
        <v>70</v>
      </c>
      <c r="B40" s="1" t="s">
        <v>0</v>
      </c>
      <c r="C40" s="1">
        <v>-0.05</v>
      </c>
      <c r="D40" s="1">
        <v>1.0013074999999998</v>
      </c>
      <c r="F40" s="7">
        <v>70</v>
      </c>
      <c r="G40" s="1" t="s">
        <v>24</v>
      </c>
      <c r="H40" s="1">
        <v>-0.05</v>
      </c>
      <c r="I40" s="1">
        <v>0.98037600000000003</v>
      </c>
    </row>
    <row r="41" spans="1:22">
      <c r="A41" s="7">
        <v>70</v>
      </c>
      <c r="B41" s="1" t="s">
        <v>0</v>
      </c>
      <c r="C41" s="1">
        <v>-0.06</v>
      </c>
      <c r="D41" s="1">
        <v>1.0015004000000001</v>
      </c>
      <c r="F41" s="7">
        <v>70</v>
      </c>
      <c r="G41" s="1" t="s">
        <v>24</v>
      </c>
      <c r="H41" s="1">
        <v>-0.06</v>
      </c>
      <c r="I41" s="1">
        <v>0.97844503999999999</v>
      </c>
    </row>
    <row r="42" spans="1:22">
      <c r="A42" s="7">
        <v>70</v>
      </c>
      <c r="B42" s="1" t="s">
        <v>0</v>
      </c>
      <c r="C42" s="1">
        <v>-7.0000000000000007E-2</v>
      </c>
      <c r="D42" s="1">
        <v>1.0011971000000002</v>
      </c>
      <c r="F42" s="7">
        <v>70</v>
      </c>
      <c r="G42" s="1" t="s">
        <v>24</v>
      </c>
      <c r="H42" s="1">
        <v>-7.0000000000000007E-2</v>
      </c>
      <c r="I42" s="1">
        <v>0.97642536000000002</v>
      </c>
    </row>
    <row r="43" spans="1:22">
      <c r="A43" s="7">
        <v>70</v>
      </c>
      <c r="B43" s="1" t="s">
        <v>0</v>
      </c>
      <c r="C43" s="1">
        <v>-0.08</v>
      </c>
      <c r="D43" s="1">
        <v>1.0003975999999999</v>
      </c>
      <c r="F43" s="7">
        <v>70</v>
      </c>
      <c r="G43" s="1" t="s">
        <v>24</v>
      </c>
      <c r="H43" s="1">
        <v>-0.08</v>
      </c>
      <c r="I43" s="1">
        <v>0.97431696000000001</v>
      </c>
    </row>
    <row r="44" spans="1:22">
      <c r="A44" s="7">
        <v>70</v>
      </c>
      <c r="B44" s="1" t="s">
        <v>0</v>
      </c>
      <c r="C44" s="1">
        <v>-0.09</v>
      </c>
      <c r="D44" s="1">
        <v>0.9991019000000001</v>
      </c>
      <c r="F44" s="7">
        <v>70</v>
      </c>
      <c r="G44" s="1" t="s">
        <v>24</v>
      </c>
      <c r="H44" s="1">
        <v>-0.09</v>
      </c>
      <c r="I44" s="1">
        <v>0.97211984000000007</v>
      </c>
    </row>
    <row r="45" spans="1:22">
      <c r="A45" s="7">
        <v>70</v>
      </c>
      <c r="B45" s="1" t="s">
        <v>0</v>
      </c>
      <c r="C45" s="1">
        <v>-0.1</v>
      </c>
      <c r="D45" s="1">
        <v>0.99730999999999992</v>
      </c>
      <c r="F45" s="7">
        <v>70</v>
      </c>
      <c r="G45" s="1" t="s">
        <v>24</v>
      </c>
      <c r="H45" s="1">
        <v>-0.1</v>
      </c>
      <c r="I45" s="1">
        <v>0.96983399999999997</v>
      </c>
    </row>
    <row r="46" spans="1:22">
      <c r="A46" s="7">
        <v>70</v>
      </c>
      <c r="B46" s="1" t="s">
        <v>0</v>
      </c>
      <c r="C46" s="1">
        <v>-0.11</v>
      </c>
      <c r="D46" s="1">
        <v>0.99502190000000001</v>
      </c>
      <c r="F46" s="7">
        <v>70</v>
      </c>
      <c r="G46" s="1" t="s">
        <v>24</v>
      </c>
      <c r="H46" s="1">
        <v>-0.11</v>
      </c>
      <c r="I46" s="1">
        <v>0.96745943999999995</v>
      </c>
    </row>
    <row r="47" spans="1:22">
      <c r="A47" s="7">
        <v>70</v>
      </c>
      <c r="B47" s="1" t="s">
        <v>0</v>
      </c>
      <c r="C47" s="1">
        <v>-0.12</v>
      </c>
      <c r="D47" s="1">
        <v>0.99223760000000005</v>
      </c>
      <c r="F47" s="7">
        <v>70</v>
      </c>
      <c r="G47" s="1" t="s">
        <v>24</v>
      </c>
      <c r="H47" s="1">
        <v>-0.12</v>
      </c>
      <c r="I47" s="1">
        <v>0.96499615999999999</v>
      </c>
    </row>
    <row r="48" spans="1:22">
      <c r="A48" s="7">
        <v>70</v>
      </c>
      <c r="B48" s="1" t="s">
        <v>0</v>
      </c>
      <c r="C48" s="1">
        <v>-0.13</v>
      </c>
      <c r="D48" s="1">
        <v>0.98895709999999992</v>
      </c>
      <c r="F48" s="7">
        <v>70</v>
      </c>
      <c r="G48" s="1" t="s">
        <v>24</v>
      </c>
      <c r="H48" s="1">
        <v>-0.13</v>
      </c>
      <c r="I48" s="1">
        <v>0.9624441600000001</v>
      </c>
    </row>
    <row r="49" spans="1:9">
      <c r="A49" s="7">
        <v>70</v>
      </c>
      <c r="B49" s="1" t="s">
        <v>0</v>
      </c>
      <c r="C49" s="1">
        <v>-0.14000000000000001</v>
      </c>
      <c r="D49" s="1">
        <v>0.98518040000000007</v>
      </c>
      <c r="F49" s="7">
        <v>70</v>
      </c>
      <c r="G49" s="1" t="s">
        <v>24</v>
      </c>
      <c r="H49" s="1">
        <v>-0.14000000000000001</v>
      </c>
      <c r="I49" s="1">
        <v>0.95980343999999995</v>
      </c>
    </row>
    <row r="50" spans="1:9">
      <c r="A50" s="7">
        <v>70</v>
      </c>
      <c r="B50" s="1" t="s">
        <v>0</v>
      </c>
      <c r="C50" s="1">
        <v>-0.15</v>
      </c>
      <c r="D50" s="1">
        <v>0.98090749999999993</v>
      </c>
      <c r="F50" s="7">
        <v>70</v>
      </c>
      <c r="G50" s="1" t="s">
        <v>24</v>
      </c>
      <c r="H50" s="1">
        <v>-0.15</v>
      </c>
      <c r="I50" s="1">
        <v>0.95707399999999998</v>
      </c>
    </row>
    <row r="51" spans="1:9">
      <c r="A51" s="7">
        <v>70</v>
      </c>
      <c r="B51" s="1" t="s">
        <v>0</v>
      </c>
      <c r="C51" s="1">
        <v>-0.16</v>
      </c>
      <c r="D51" s="1">
        <v>0.97613839999999996</v>
      </c>
      <c r="F51" s="7">
        <v>70</v>
      </c>
      <c r="G51" s="1" t="s">
        <v>24</v>
      </c>
      <c r="H51" s="1">
        <v>-0.16</v>
      </c>
      <c r="I51" s="1">
        <v>0.95425584000000008</v>
      </c>
    </row>
    <row r="52" spans="1:9">
      <c r="A52" s="7">
        <v>70</v>
      </c>
      <c r="B52" s="1" t="s">
        <v>0</v>
      </c>
      <c r="C52" s="1">
        <v>-0.17</v>
      </c>
      <c r="D52" s="1">
        <v>0.97087310000000016</v>
      </c>
      <c r="F52" s="7">
        <v>70</v>
      </c>
      <c r="G52" s="1" t="s">
        <v>24</v>
      </c>
      <c r="H52" s="1">
        <v>-0.17</v>
      </c>
      <c r="I52" s="1">
        <v>0.95134896000000002</v>
      </c>
    </row>
    <row r="53" spans="1:9">
      <c r="A53" s="7">
        <v>70</v>
      </c>
      <c r="B53" s="1" t="s">
        <v>0</v>
      </c>
      <c r="C53" s="1">
        <v>-0.18</v>
      </c>
      <c r="D53" s="1">
        <v>0.96511159999999996</v>
      </c>
      <c r="F53" s="7">
        <v>70</v>
      </c>
      <c r="G53" s="1" t="s">
        <v>24</v>
      </c>
      <c r="H53" s="1">
        <v>-0.18</v>
      </c>
      <c r="I53" s="1">
        <v>0.94835335999999992</v>
      </c>
    </row>
    <row r="54" spans="1:9">
      <c r="A54" s="7">
        <v>70</v>
      </c>
      <c r="B54" s="1" t="s">
        <v>0</v>
      </c>
      <c r="C54" s="1">
        <v>-0.19</v>
      </c>
      <c r="D54" s="1">
        <v>0.95885390000000004</v>
      </c>
      <c r="F54" s="7">
        <v>70</v>
      </c>
      <c r="G54" s="1" t="s">
        <v>24</v>
      </c>
      <c r="H54" s="1">
        <v>-0.19</v>
      </c>
      <c r="I54" s="1">
        <v>0.94526904</v>
      </c>
    </row>
    <row r="55" spans="1:9">
      <c r="A55" s="7">
        <v>70</v>
      </c>
      <c r="B55" s="1" t="s">
        <v>0</v>
      </c>
      <c r="C55" s="1">
        <v>-0.2</v>
      </c>
      <c r="D55" s="1">
        <v>0.95209999999999995</v>
      </c>
      <c r="F55" s="7">
        <v>70</v>
      </c>
      <c r="G55" s="1" t="s">
        <v>24</v>
      </c>
      <c r="H55" s="1">
        <v>-0.2</v>
      </c>
      <c r="I55" s="1">
        <v>0.94209600000000004</v>
      </c>
    </row>
    <row r="56" spans="1:9">
      <c r="A56" s="7">
        <v>110</v>
      </c>
      <c r="B56" s="1" t="s">
        <v>0</v>
      </c>
      <c r="C56" s="1">
        <v>-0.01</v>
      </c>
      <c r="D56" s="1">
        <v>1.0002293</v>
      </c>
      <c r="F56" s="7">
        <v>110</v>
      </c>
      <c r="G56" s="1" t="s">
        <v>24</v>
      </c>
      <c r="H56" s="1">
        <v>-0.01</v>
      </c>
      <c r="I56" s="1">
        <v>0.9874786499999999</v>
      </c>
    </row>
    <row r="57" spans="1:9">
      <c r="A57" s="7">
        <v>110</v>
      </c>
      <c r="B57" s="1" t="s">
        <v>0</v>
      </c>
      <c r="C57" s="1">
        <v>-0.02</v>
      </c>
      <c r="D57" s="1">
        <v>1.0001928</v>
      </c>
      <c r="F57" s="7">
        <v>110</v>
      </c>
      <c r="G57" s="1" t="s">
        <v>24</v>
      </c>
      <c r="H57" s="1">
        <v>-0.02</v>
      </c>
      <c r="I57" s="1">
        <v>0.98586660000000004</v>
      </c>
    </row>
    <row r="58" spans="1:9">
      <c r="A58" s="7">
        <v>110</v>
      </c>
      <c r="B58" s="1" t="s">
        <v>0</v>
      </c>
      <c r="C58" s="1">
        <v>-0.03</v>
      </c>
      <c r="D58" s="1">
        <v>0.99979050000000014</v>
      </c>
      <c r="F58" s="7">
        <v>110</v>
      </c>
      <c r="G58" s="1" t="s">
        <v>24</v>
      </c>
      <c r="H58" s="1">
        <v>-0.03</v>
      </c>
      <c r="I58" s="1">
        <v>0.98416384999999995</v>
      </c>
    </row>
    <row r="59" spans="1:9">
      <c r="A59" s="7">
        <v>110</v>
      </c>
      <c r="B59" s="1" t="s">
        <v>0</v>
      </c>
      <c r="C59" s="1">
        <v>-0.04</v>
      </c>
      <c r="D59" s="1">
        <v>0.99902240000000009</v>
      </c>
      <c r="F59" s="7">
        <v>110</v>
      </c>
      <c r="G59" s="1" t="s">
        <v>24</v>
      </c>
      <c r="H59" s="1">
        <v>-0.04</v>
      </c>
      <c r="I59" s="1">
        <v>0.98237039999999998</v>
      </c>
    </row>
    <row r="60" spans="1:9">
      <c r="A60" s="7">
        <v>110</v>
      </c>
      <c r="B60" s="1" t="s">
        <v>0</v>
      </c>
      <c r="C60" s="1">
        <v>-0.05</v>
      </c>
      <c r="D60" s="1">
        <v>0.99788850000000007</v>
      </c>
      <c r="F60" s="7">
        <v>110</v>
      </c>
      <c r="G60" s="1" t="s">
        <v>24</v>
      </c>
      <c r="H60" s="1">
        <v>-0.05</v>
      </c>
      <c r="I60" s="1">
        <v>0.98048624999999989</v>
      </c>
    </row>
    <row r="61" spans="1:9">
      <c r="A61" s="7">
        <v>110</v>
      </c>
      <c r="B61" s="1" t="s">
        <v>0</v>
      </c>
      <c r="C61" s="1">
        <v>-0.06</v>
      </c>
      <c r="D61" s="1">
        <v>0.99638879999999996</v>
      </c>
      <c r="F61" s="7">
        <v>110</v>
      </c>
      <c r="G61" s="1" t="s">
        <v>24</v>
      </c>
      <c r="H61" s="1">
        <v>-0.06</v>
      </c>
      <c r="I61" s="1">
        <v>0.97851140000000003</v>
      </c>
    </row>
    <row r="62" spans="1:9">
      <c r="A62" s="7">
        <v>110</v>
      </c>
      <c r="B62" s="1" t="s">
        <v>0</v>
      </c>
      <c r="C62" s="1">
        <v>-7.0000000000000007E-2</v>
      </c>
      <c r="D62" s="1">
        <v>0.9945233</v>
      </c>
      <c r="F62" s="7">
        <v>110</v>
      </c>
      <c r="G62" s="1" t="s">
        <v>24</v>
      </c>
      <c r="H62" s="1">
        <v>-7.0000000000000007E-2</v>
      </c>
      <c r="I62" s="1">
        <v>0.97644584999999995</v>
      </c>
    </row>
    <row r="63" spans="1:9">
      <c r="A63" s="7">
        <v>110</v>
      </c>
      <c r="B63" s="1" t="s">
        <v>0</v>
      </c>
      <c r="C63" s="1">
        <v>-0.08</v>
      </c>
      <c r="D63" s="1">
        <v>0.99229199999999995</v>
      </c>
      <c r="F63" s="7">
        <v>110</v>
      </c>
      <c r="G63" s="1" t="s">
        <v>24</v>
      </c>
      <c r="H63" s="1">
        <v>-0.08</v>
      </c>
      <c r="I63" s="1">
        <v>0.97428959999999998</v>
      </c>
    </row>
    <row r="64" spans="1:9">
      <c r="A64" s="7">
        <v>110</v>
      </c>
      <c r="B64" s="1" t="s">
        <v>0</v>
      </c>
      <c r="C64" s="1">
        <v>-0.09</v>
      </c>
      <c r="D64" s="1">
        <v>0.98969490000000016</v>
      </c>
      <c r="F64" s="7">
        <v>110</v>
      </c>
      <c r="G64" s="1" t="s">
        <v>24</v>
      </c>
      <c r="H64" s="1">
        <v>-0.09</v>
      </c>
      <c r="I64" s="1">
        <v>0.97204265000000001</v>
      </c>
    </row>
    <row r="65" spans="1:9">
      <c r="A65" s="7">
        <v>110</v>
      </c>
      <c r="B65" s="1" t="s">
        <v>0</v>
      </c>
      <c r="C65" s="1">
        <v>-0.1</v>
      </c>
      <c r="D65" s="1">
        <v>0.98673200000000005</v>
      </c>
      <c r="F65" s="7">
        <v>110</v>
      </c>
      <c r="G65" s="1" t="s">
        <v>24</v>
      </c>
      <c r="H65" s="1">
        <v>-0.1</v>
      </c>
      <c r="I65" s="1">
        <v>0.96970500000000004</v>
      </c>
    </row>
    <row r="66" spans="1:9">
      <c r="A66" s="7">
        <v>110</v>
      </c>
      <c r="B66" s="1" t="s">
        <v>0</v>
      </c>
      <c r="C66" s="1">
        <v>-0.11</v>
      </c>
      <c r="D66" s="1">
        <v>0.98340330000000009</v>
      </c>
      <c r="F66" s="7">
        <v>110</v>
      </c>
      <c r="G66" s="1" t="s">
        <v>24</v>
      </c>
      <c r="H66" s="1">
        <v>-0.11</v>
      </c>
      <c r="I66" s="1">
        <v>0.96727664999999996</v>
      </c>
    </row>
    <row r="67" spans="1:9">
      <c r="A67" s="7">
        <v>110</v>
      </c>
      <c r="B67" s="1" t="s">
        <v>0</v>
      </c>
      <c r="C67" s="1">
        <v>-0.12</v>
      </c>
      <c r="D67" s="1">
        <v>0.97970880000000005</v>
      </c>
      <c r="F67" s="7">
        <v>110</v>
      </c>
      <c r="G67" s="1" t="s">
        <v>24</v>
      </c>
      <c r="H67" s="1">
        <v>-0.12</v>
      </c>
      <c r="I67" s="1">
        <v>0.96475759999999999</v>
      </c>
    </row>
    <row r="68" spans="1:9">
      <c r="A68" s="7">
        <v>110</v>
      </c>
      <c r="B68" s="1" t="s">
        <v>0</v>
      </c>
      <c r="C68" s="1">
        <v>-0.13</v>
      </c>
      <c r="D68" s="1">
        <v>0.97564849999999992</v>
      </c>
      <c r="F68" s="7">
        <v>110</v>
      </c>
      <c r="G68" s="1" t="s">
        <v>24</v>
      </c>
      <c r="H68" s="1">
        <v>-0.13</v>
      </c>
      <c r="I68" s="1">
        <v>0.96214785000000003</v>
      </c>
    </row>
    <row r="69" spans="1:9">
      <c r="A69" s="7">
        <v>110</v>
      </c>
      <c r="B69" s="1" t="s">
        <v>0</v>
      </c>
      <c r="C69" s="1">
        <v>-0.14000000000000001</v>
      </c>
      <c r="D69" s="1">
        <v>0.97122239999999993</v>
      </c>
      <c r="F69" s="7">
        <v>110</v>
      </c>
      <c r="G69" s="1" t="s">
        <v>24</v>
      </c>
      <c r="H69" s="1">
        <v>-0.14000000000000001</v>
      </c>
      <c r="I69" s="1">
        <v>0.95944739999999995</v>
      </c>
    </row>
    <row r="70" spans="1:9">
      <c r="A70" s="7">
        <v>110</v>
      </c>
      <c r="B70" s="1" t="s">
        <v>0</v>
      </c>
      <c r="C70" s="1">
        <v>-0.15</v>
      </c>
      <c r="D70" s="1">
        <v>0.96643050000000008</v>
      </c>
      <c r="F70" s="7">
        <v>110</v>
      </c>
      <c r="G70" s="1" t="s">
        <v>24</v>
      </c>
      <c r="H70" s="1">
        <v>-0.15</v>
      </c>
      <c r="I70" s="1">
        <v>0.95665624999999999</v>
      </c>
    </row>
    <row r="71" spans="1:9">
      <c r="A71" s="7">
        <v>110</v>
      </c>
      <c r="B71" s="1" t="s">
        <v>0</v>
      </c>
      <c r="C71" s="1">
        <v>-0.16</v>
      </c>
      <c r="D71" s="1">
        <v>0.96127280000000004</v>
      </c>
      <c r="F71" s="7">
        <v>110</v>
      </c>
      <c r="G71" s="1" t="s">
        <v>24</v>
      </c>
      <c r="H71" s="1">
        <v>-0.16</v>
      </c>
      <c r="I71" s="1">
        <v>0.95377440000000002</v>
      </c>
    </row>
    <row r="72" spans="1:9">
      <c r="A72" s="7">
        <v>110</v>
      </c>
      <c r="B72" s="1" t="s">
        <v>0</v>
      </c>
      <c r="C72" s="1">
        <v>-0.17</v>
      </c>
      <c r="D72" s="1">
        <v>0.95574930000000002</v>
      </c>
      <c r="F72" s="7">
        <v>110</v>
      </c>
      <c r="G72" s="1" t="s">
        <v>24</v>
      </c>
      <c r="H72" s="1">
        <v>-0.17</v>
      </c>
      <c r="I72" s="1">
        <v>0.95080184999999995</v>
      </c>
    </row>
    <row r="73" spans="1:9">
      <c r="A73" s="7">
        <v>110</v>
      </c>
      <c r="B73" s="1" t="s">
        <v>0</v>
      </c>
      <c r="C73" s="1">
        <v>-0.18</v>
      </c>
      <c r="D73" s="1">
        <v>0.94986000000000004</v>
      </c>
      <c r="F73" s="7">
        <v>110</v>
      </c>
      <c r="G73" s="1" t="s">
        <v>24</v>
      </c>
      <c r="H73" s="1">
        <v>-0.18</v>
      </c>
      <c r="I73" s="1">
        <v>0.94773859999999999</v>
      </c>
    </row>
    <row r="74" spans="1:9">
      <c r="A74" s="7">
        <v>110</v>
      </c>
      <c r="B74" s="1" t="s">
        <v>0</v>
      </c>
      <c r="C74" s="1">
        <v>-0.19</v>
      </c>
      <c r="D74" s="1">
        <v>0.94360489999999997</v>
      </c>
      <c r="F74" s="7">
        <v>110</v>
      </c>
      <c r="G74" s="1" t="s">
        <v>24</v>
      </c>
      <c r="H74" s="1">
        <v>-0.19</v>
      </c>
      <c r="I74" s="1">
        <v>0.94458465000000003</v>
      </c>
    </row>
    <row r="75" spans="1:9">
      <c r="A75" s="7">
        <v>110</v>
      </c>
      <c r="B75" s="1" t="s">
        <v>0</v>
      </c>
      <c r="C75" s="1">
        <v>-0.2</v>
      </c>
      <c r="D75" s="1">
        <v>0.93698399999999993</v>
      </c>
      <c r="F75" s="7">
        <v>110</v>
      </c>
      <c r="G75" s="1" t="s">
        <v>24</v>
      </c>
      <c r="H75" s="1">
        <v>-0.2</v>
      </c>
      <c r="I75" s="1">
        <v>0.94133999999999995</v>
      </c>
    </row>
    <row r="76" spans="1:9">
      <c r="A76" s="7">
        <v>155</v>
      </c>
      <c r="B76" s="1" t="s">
        <v>0</v>
      </c>
      <c r="C76" s="1">
        <v>-0.01</v>
      </c>
      <c r="D76" s="1">
        <v>0.97956277000000003</v>
      </c>
      <c r="F76" s="7">
        <v>155</v>
      </c>
      <c r="G76" s="1" t="s">
        <v>24</v>
      </c>
      <c r="H76" s="1">
        <v>-0.01</v>
      </c>
      <c r="I76" s="1">
        <v>0.98121555999999999</v>
      </c>
    </row>
    <row r="77" spans="1:9">
      <c r="A77" s="7">
        <v>155</v>
      </c>
      <c r="B77" s="1" t="s">
        <v>0</v>
      </c>
      <c r="C77" s="1">
        <v>-0.02</v>
      </c>
      <c r="D77" s="1">
        <v>0.97619307999999994</v>
      </c>
      <c r="F77" s="7">
        <v>155</v>
      </c>
      <c r="G77" s="1" t="s">
        <v>24</v>
      </c>
      <c r="H77" s="1">
        <v>-0.02</v>
      </c>
      <c r="I77" s="1">
        <v>0.97857623999999999</v>
      </c>
    </row>
    <row r="78" spans="1:9">
      <c r="A78" s="7">
        <v>155</v>
      </c>
      <c r="B78" s="1" t="s">
        <v>0</v>
      </c>
      <c r="C78" s="1">
        <v>-0.03</v>
      </c>
      <c r="D78" s="1">
        <v>0.97279092999999994</v>
      </c>
      <c r="F78" s="7">
        <v>155</v>
      </c>
      <c r="G78" s="1" t="s">
        <v>24</v>
      </c>
      <c r="H78" s="1">
        <v>-0.03</v>
      </c>
      <c r="I78" s="1">
        <v>0.97578204000000002</v>
      </c>
    </row>
    <row r="79" spans="1:9">
      <c r="A79" s="7">
        <v>155</v>
      </c>
      <c r="B79" s="1" t="s">
        <v>0</v>
      </c>
      <c r="C79" s="1">
        <v>-0.04</v>
      </c>
      <c r="D79" s="1">
        <v>0.96935632000000005</v>
      </c>
      <c r="F79" s="7">
        <v>155</v>
      </c>
      <c r="G79" s="1" t="s">
        <v>24</v>
      </c>
      <c r="H79" s="1">
        <v>-0.04</v>
      </c>
      <c r="I79" s="1">
        <v>0.97283296000000008</v>
      </c>
    </row>
    <row r="80" spans="1:9">
      <c r="A80" s="7">
        <v>155</v>
      </c>
      <c r="B80" s="1" t="s">
        <v>0</v>
      </c>
      <c r="C80" s="1">
        <v>-0.05</v>
      </c>
      <c r="D80" s="1">
        <v>0.96588925000000003</v>
      </c>
      <c r="F80" s="7">
        <v>155</v>
      </c>
      <c r="G80" s="1" t="s">
        <v>24</v>
      </c>
      <c r="H80" s="1">
        <v>-0.05</v>
      </c>
      <c r="I80" s="1">
        <v>0.96972899999999995</v>
      </c>
    </row>
    <row r="81" spans="1:9">
      <c r="A81" s="7">
        <v>155</v>
      </c>
      <c r="B81" s="1" t="s">
        <v>0</v>
      </c>
      <c r="C81" s="1">
        <v>-0.06</v>
      </c>
      <c r="D81" s="1">
        <v>0.96238972</v>
      </c>
      <c r="F81" s="7">
        <v>155</v>
      </c>
      <c r="G81" s="1" t="s">
        <v>24</v>
      </c>
      <c r="H81" s="1">
        <v>-0.06</v>
      </c>
      <c r="I81" s="1">
        <v>0.96647016000000008</v>
      </c>
    </row>
    <row r="82" spans="1:9">
      <c r="A82" s="7">
        <v>155</v>
      </c>
      <c r="B82" s="1" t="s">
        <v>0</v>
      </c>
      <c r="C82" s="1">
        <v>-7.0000000000000007E-2</v>
      </c>
      <c r="D82" s="1">
        <v>0.95885772999999996</v>
      </c>
      <c r="F82" s="7">
        <v>155</v>
      </c>
      <c r="G82" s="1" t="s">
        <v>24</v>
      </c>
      <c r="H82" s="1">
        <v>-7.0000000000000007E-2</v>
      </c>
      <c r="I82" s="1">
        <v>0.96305644000000001</v>
      </c>
    </row>
    <row r="83" spans="1:9">
      <c r="A83" s="7">
        <v>155</v>
      </c>
      <c r="B83" s="1" t="s">
        <v>0</v>
      </c>
      <c r="C83" s="1">
        <v>-0.08</v>
      </c>
      <c r="D83" s="1">
        <v>0.95529327999999991</v>
      </c>
      <c r="F83" s="7">
        <v>155</v>
      </c>
      <c r="G83" s="1" t="s">
        <v>24</v>
      </c>
      <c r="H83" s="1">
        <v>-0.08</v>
      </c>
      <c r="I83" s="1">
        <v>0.95948783999999998</v>
      </c>
    </row>
    <row r="84" spans="1:9">
      <c r="A84" s="7">
        <v>155</v>
      </c>
      <c r="B84" s="1" t="s">
        <v>0</v>
      </c>
      <c r="C84" s="1">
        <v>-0.09</v>
      </c>
      <c r="D84" s="1">
        <v>0.95169637000000007</v>
      </c>
      <c r="F84" s="7">
        <v>155</v>
      </c>
      <c r="G84" s="1" t="s">
        <v>24</v>
      </c>
      <c r="H84" s="1">
        <v>-0.09</v>
      </c>
      <c r="I84" s="1">
        <v>0.95576435999999998</v>
      </c>
    </row>
    <row r="85" spans="1:9">
      <c r="A85" s="7">
        <v>155</v>
      </c>
      <c r="B85" s="1" t="s">
        <v>0</v>
      </c>
      <c r="C85" s="1">
        <v>-0.1</v>
      </c>
      <c r="D85" s="1">
        <v>0.94806699999999999</v>
      </c>
      <c r="F85" s="7">
        <v>155</v>
      </c>
      <c r="G85" s="1" t="s">
        <v>24</v>
      </c>
      <c r="H85" s="1">
        <v>-0.1</v>
      </c>
      <c r="I85" s="1">
        <v>0.95188600000000001</v>
      </c>
    </row>
    <row r="86" spans="1:9">
      <c r="A86" s="7">
        <v>155</v>
      </c>
      <c r="B86" s="1" t="s">
        <v>0</v>
      </c>
      <c r="C86" s="1">
        <v>-0.11</v>
      </c>
      <c r="D86" s="1">
        <v>0.94440517000000002</v>
      </c>
      <c r="F86" s="7">
        <v>155</v>
      </c>
      <c r="G86" s="1" t="s">
        <v>24</v>
      </c>
      <c r="H86" s="1">
        <v>-0.11</v>
      </c>
      <c r="I86" s="1">
        <v>0.94785276000000007</v>
      </c>
    </row>
    <row r="87" spans="1:9">
      <c r="A87" s="7">
        <v>155</v>
      </c>
      <c r="B87" s="1" t="s">
        <v>0</v>
      </c>
      <c r="C87" s="1">
        <v>-0.12</v>
      </c>
      <c r="D87" s="1">
        <v>0.94071088000000003</v>
      </c>
      <c r="F87" s="7">
        <v>155</v>
      </c>
      <c r="G87" s="1" t="s">
        <v>24</v>
      </c>
      <c r="H87" s="1">
        <v>-0.12</v>
      </c>
      <c r="I87" s="1">
        <v>0.94366463999999994</v>
      </c>
    </row>
    <row r="88" spans="1:9">
      <c r="A88" s="7">
        <v>155</v>
      </c>
      <c r="B88" s="1" t="s">
        <v>0</v>
      </c>
      <c r="C88" s="1">
        <v>-0.13</v>
      </c>
      <c r="D88" s="1">
        <v>0.93698413000000003</v>
      </c>
      <c r="F88" s="7">
        <v>155</v>
      </c>
      <c r="G88" s="1" t="s">
        <v>24</v>
      </c>
      <c r="H88" s="1">
        <v>-0.13</v>
      </c>
      <c r="I88" s="1">
        <v>0.93932164000000007</v>
      </c>
    </row>
    <row r="89" spans="1:9">
      <c r="A89" s="7">
        <v>155</v>
      </c>
      <c r="B89" s="1" t="s">
        <v>0</v>
      </c>
      <c r="C89" s="1">
        <v>-0.14000000000000001</v>
      </c>
      <c r="D89" s="1">
        <v>0.93322492000000001</v>
      </c>
      <c r="F89" s="7">
        <v>155</v>
      </c>
      <c r="G89" s="1" t="s">
        <v>24</v>
      </c>
      <c r="H89" s="1">
        <v>-0.14000000000000001</v>
      </c>
      <c r="I89" s="1">
        <v>0.93482376</v>
      </c>
    </row>
    <row r="90" spans="1:9">
      <c r="A90" s="7">
        <v>155</v>
      </c>
      <c r="B90" s="1" t="s">
        <v>0</v>
      </c>
      <c r="C90" s="1">
        <v>-0.15</v>
      </c>
      <c r="D90" s="1">
        <v>0.92943324999999999</v>
      </c>
      <c r="F90" s="7">
        <v>155</v>
      </c>
      <c r="G90" s="1" t="s">
        <v>24</v>
      </c>
      <c r="H90" s="1">
        <v>-0.15</v>
      </c>
      <c r="I90" s="1">
        <v>0.93017099999999997</v>
      </c>
    </row>
    <row r="91" spans="1:9">
      <c r="A91" s="7">
        <v>155</v>
      </c>
      <c r="B91" s="1" t="s">
        <v>0</v>
      </c>
      <c r="C91" s="1">
        <v>-0.16</v>
      </c>
      <c r="D91" s="1">
        <v>0.92560912000000006</v>
      </c>
      <c r="F91" s="7">
        <v>155</v>
      </c>
      <c r="G91" s="1" t="s">
        <v>24</v>
      </c>
      <c r="H91" s="1">
        <v>-0.16</v>
      </c>
      <c r="I91" s="1">
        <v>0.92536336000000008</v>
      </c>
    </row>
    <row r="92" spans="1:9">
      <c r="A92" s="7">
        <v>155</v>
      </c>
      <c r="B92" s="1" t="s">
        <v>0</v>
      </c>
      <c r="C92" s="1">
        <v>-0.17</v>
      </c>
      <c r="D92" s="1">
        <v>0.92175253000000001</v>
      </c>
      <c r="F92" s="7">
        <v>155</v>
      </c>
      <c r="G92" s="1" t="s">
        <v>24</v>
      </c>
      <c r="H92" s="1">
        <v>-0.17</v>
      </c>
      <c r="I92" s="1">
        <v>0.92040084</v>
      </c>
    </row>
    <row r="93" spans="1:9">
      <c r="A93" s="7">
        <v>155</v>
      </c>
      <c r="B93" s="1" t="s">
        <v>0</v>
      </c>
      <c r="C93" s="1">
        <v>-0.18</v>
      </c>
      <c r="D93" s="1">
        <v>0.91786347999999995</v>
      </c>
      <c r="F93" s="7">
        <v>155</v>
      </c>
      <c r="G93" s="1" t="s">
        <v>24</v>
      </c>
      <c r="H93" s="1">
        <v>-0.18</v>
      </c>
      <c r="I93" s="1">
        <v>0.91528344000000006</v>
      </c>
    </row>
    <row r="94" spans="1:9">
      <c r="A94" s="7">
        <v>155</v>
      </c>
      <c r="B94" s="1" t="s">
        <v>0</v>
      </c>
      <c r="C94" s="1">
        <v>-0.19</v>
      </c>
      <c r="D94" s="1">
        <v>0.91394196999999999</v>
      </c>
      <c r="F94" s="7">
        <v>155</v>
      </c>
      <c r="G94" s="1" t="s">
        <v>24</v>
      </c>
      <c r="H94" s="1">
        <v>-0.19</v>
      </c>
      <c r="I94" s="1">
        <v>0.91001116000000004</v>
      </c>
    </row>
    <row r="95" spans="1:9">
      <c r="A95" s="7">
        <v>155</v>
      </c>
      <c r="B95" s="1" t="s">
        <v>0</v>
      </c>
      <c r="C95" s="1">
        <v>-0.2</v>
      </c>
      <c r="D95" s="1">
        <v>0.90998799999999991</v>
      </c>
      <c r="F95" s="7">
        <v>155</v>
      </c>
      <c r="G95" s="1" t="s">
        <v>24</v>
      </c>
      <c r="H95" s="1">
        <v>-0.2</v>
      </c>
      <c r="I95" s="1">
        <v>0.90458400000000005</v>
      </c>
    </row>
    <row r="96" spans="1:9">
      <c r="A96" s="7">
        <v>205</v>
      </c>
      <c r="B96" s="1" t="s">
        <v>0</v>
      </c>
      <c r="C96" s="1">
        <v>-0.01</v>
      </c>
      <c r="D96" s="1">
        <v>0.97169534000000002</v>
      </c>
      <c r="F96" s="7">
        <v>205</v>
      </c>
      <c r="G96" s="1" t="s">
        <v>24</v>
      </c>
      <c r="H96" s="1">
        <v>-0.01</v>
      </c>
      <c r="I96" s="1">
        <v>0.97419469999999997</v>
      </c>
    </row>
    <row r="97" spans="1:9">
      <c r="A97" s="7">
        <v>205</v>
      </c>
      <c r="B97" s="1" t="s">
        <v>0</v>
      </c>
      <c r="C97" s="1">
        <v>-0.02</v>
      </c>
      <c r="D97" s="1">
        <v>0.96558136000000006</v>
      </c>
      <c r="F97" s="7">
        <v>205</v>
      </c>
      <c r="G97" s="1" t="s">
        <v>24</v>
      </c>
      <c r="H97" s="1">
        <v>-0.02</v>
      </c>
      <c r="I97" s="1">
        <v>0.97146080000000001</v>
      </c>
    </row>
    <row r="98" spans="1:9">
      <c r="A98" s="7">
        <v>205</v>
      </c>
      <c r="B98" s="1" t="s">
        <v>0</v>
      </c>
      <c r="C98" s="1">
        <v>-0.03</v>
      </c>
      <c r="D98" s="1">
        <v>0.95955805999999999</v>
      </c>
      <c r="F98" s="7">
        <v>205</v>
      </c>
      <c r="G98" s="1" t="s">
        <v>24</v>
      </c>
      <c r="H98" s="1">
        <v>-0.03</v>
      </c>
      <c r="I98" s="1">
        <v>0.96859829999999991</v>
      </c>
    </row>
    <row r="99" spans="1:9">
      <c r="A99" s="7">
        <v>205</v>
      </c>
      <c r="B99" s="1" t="s">
        <v>0</v>
      </c>
      <c r="C99" s="1">
        <v>-0.04</v>
      </c>
      <c r="D99" s="1">
        <v>0.95362543999999994</v>
      </c>
      <c r="F99" s="7">
        <v>205</v>
      </c>
      <c r="G99" s="1" t="s">
        <v>24</v>
      </c>
      <c r="H99" s="1">
        <v>-0.04</v>
      </c>
      <c r="I99" s="1">
        <v>0.9656072</v>
      </c>
    </row>
    <row r="100" spans="1:9">
      <c r="A100" s="7">
        <v>205</v>
      </c>
      <c r="B100" s="1" t="s">
        <v>0</v>
      </c>
      <c r="C100" s="1">
        <v>-0.05</v>
      </c>
      <c r="D100" s="1">
        <v>0.9477835</v>
      </c>
      <c r="F100" s="7">
        <v>205</v>
      </c>
      <c r="G100" s="1" t="s">
        <v>24</v>
      </c>
      <c r="H100" s="1">
        <v>-0.05</v>
      </c>
      <c r="I100" s="1">
        <v>0.96248750000000005</v>
      </c>
    </row>
    <row r="101" spans="1:9">
      <c r="A101" s="7">
        <v>205</v>
      </c>
      <c r="B101" s="1" t="s">
        <v>0</v>
      </c>
      <c r="C101" s="1">
        <v>-0.06</v>
      </c>
      <c r="D101" s="1">
        <v>0.94203223999999997</v>
      </c>
      <c r="F101" s="7">
        <v>205</v>
      </c>
      <c r="G101" s="1" t="s">
        <v>24</v>
      </c>
      <c r="H101" s="1">
        <v>-0.06</v>
      </c>
      <c r="I101" s="1">
        <v>0.95923920000000007</v>
      </c>
    </row>
    <row r="102" spans="1:9">
      <c r="A102" s="7">
        <v>205</v>
      </c>
      <c r="B102" s="1" t="s">
        <v>0</v>
      </c>
      <c r="C102" s="1">
        <v>-7.0000000000000007E-2</v>
      </c>
      <c r="D102" s="1">
        <v>0.93637166000000005</v>
      </c>
      <c r="F102" s="7">
        <v>205</v>
      </c>
      <c r="G102" s="1" t="s">
        <v>24</v>
      </c>
      <c r="H102" s="1">
        <v>-7.0000000000000007E-2</v>
      </c>
      <c r="I102" s="1">
        <v>0.95586230000000005</v>
      </c>
    </row>
    <row r="103" spans="1:9">
      <c r="A103" s="7">
        <v>205</v>
      </c>
      <c r="B103" s="1" t="s">
        <v>0</v>
      </c>
      <c r="C103" s="1">
        <v>-0.08</v>
      </c>
      <c r="D103" s="1">
        <v>0.93080175999999992</v>
      </c>
      <c r="F103" s="7">
        <v>205</v>
      </c>
      <c r="G103" s="1" t="s">
        <v>24</v>
      </c>
      <c r="H103" s="1">
        <v>-0.08</v>
      </c>
      <c r="I103" s="1">
        <v>0.9523568</v>
      </c>
    </row>
    <row r="104" spans="1:9">
      <c r="A104" s="7">
        <v>205</v>
      </c>
      <c r="B104" s="1" t="s">
        <v>0</v>
      </c>
      <c r="C104" s="1">
        <v>-0.09</v>
      </c>
      <c r="D104" s="1">
        <v>0.92532253999999992</v>
      </c>
      <c r="F104" s="7">
        <v>205</v>
      </c>
      <c r="G104" s="1" t="s">
        <v>24</v>
      </c>
      <c r="H104" s="1">
        <v>-0.09</v>
      </c>
      <c r="I104" s="1">
        <v>0.94872269999999992</v>
      </c>
    </row>
    <row r="105" spans="1:9">
      <c r="A105" s="7">
        <v>205</v>
      </c>
      <c r="B105" s="1" t="s">
        <v>0</v>
      </c>
      <c r="C105" s="1">
        <v>-0.1</v>
      </c>
      <c r="D105" s="1">
        <v>0.91993400000000003</v>
      </c>
      <c r="F105" s="7">
        <v>205</v>
      </c>
      <c r="G105" s="1" t="s">
        <v>24</v>
      </c>
      <c r="H105" s="1">
        <v>-0.1</v>
      </c>
      <c r="I105" s="1">
        <v>0.94495999999999991</v>
      </c>
    </row>
    <row r="106" spans="1:9">
      <c r="A106" s="7">
        <v>205</v>
      </c>
      <c r="B106" s="1" t="s">
        <v>0</v>
      </c>
      <c r="C106" s="1">
        <v>-0.11</v>
      </c>
      <c r="D106" s="1">
        <v>0.91463614000000004</v>
      </c>
      <c r="F106" s="7">
        <v>205</v>
      </c>
      <c r="G106" s="1" t="s">
        <v>24</v>
      </c>
      <c r="H106" s="1">
        <v>-0.11</v>
      </c>
      <c r="I106" s="1">
        <v>0.94106870000000009</v>
      </c>
    </row>
    <row r="107" spans="1:9">
      <c r="A107" s="7">
        <v>205</v>
      </c>
      <c r="B107" s="1" t="s">
        <v>0</v>
      </c>
      <c r="C107" s="1">
        <v>-0.12</v>
      </c>
      <c r="D107" s="1">
        <v>0.90942896000000006</v>
      </c>
      <c r="F107" s="7">
        <v>205</v>
      </c>
      <c r="G107" s="1" t="s">
        <v>24</v>
      </c>
      <c r="H107" s="1">
        <v>-0.12</v>
      </c>
      <c r="I107" s="1">
        <v>0.93704880000000002</v>
      </c>
    </row>
    <row r="108" spans="1:9">
      <c r="A108" s="7">
        <v>205</v>
      </c>
      <c r="B108" s="1" t="s">
        <v>0</v>
      </c>
      <c r="C108" s="1">
        <v>-0.13</v>
      </c>
      <c r="D108" s="1">
        <v>0.90431245999999998</v>
      </c>
      <c r="F108" s="7">
        <v>205</v>
      </c>
      <c r="G108" s="1" t="s">
        <v>24</v>
      </c>
      <c r="H108" s="1">
        <v>-0.13</v>
      </c>
      <c r="I108" s="1">
        <v>0.93290030000000002</v>
      </c>
    </row>
    <row r="109" spans="1:9">
      <c r="A109" s="7">
        <v>205</v>
      </c>
      <c r="B109" s="1" t="s">
        <v>0</v>
      </c>
      <c r="C109" s="1">
        <v>-0.14000000000000001</v>
      </c>
      <c r="D109" s="1">
        <v>0.89928663999999991</v>
      </c>
      <c r="F109" s="7">
        <v>205</v>
      </c>
      <c r="G109" s="1" t="s">
        <v>24</v>
      </c>
      <c r="H109" s="1">
        <v>-0.14000000000000001</v>
      </c>
      <c r="I109" s="1">
        <v>0.92862319999999998</v>
      </c>
    </row>
    <row r="110" spans="1:9">
      <c r="A110" s="7">
        <v>205</v>
      </c>
      <c r="B110" s="1" t="s">
        <v>0</v>
      </c>
      <c r="C110" s="1">
        <v>-0.15</v>
      </c>
      <c r="D110" s="1">
        <v>0.89435149999999997</v>
      </c>
      <c r="F110" s="7">
        <v>205</v>
      </c>
      <c r="G110" s="1" t="s">
        <v>24</v>
      </c>
      <c r="H110" s="1">
        <v>-0.15</v>
      </c>
      <c r="I110" s="1">
        <v>0.92421750000000003</v>
      </c>
    </row>
    <row r="111" spans="1:9">
      <c r="A111" s="7">
        <v>205</v>
      </c>
      <c r="B111" s="1" t="s">
        <v>0</v>
      </c>
      <c r="C111" s="1">
        <v>-0.16</v>
      </c>
      <c r="D111" s="1">
        <v>0.88950704000000003</v>
      </c>
      <c r="F111" s="7">
        <v>205</v>
      </c>
      <c r="G111" s="1" t="s">
        <v>24</v>
      </c>
      <c r="H111" s="1">
        <v>-0.16</v>
      </c>
      <c r="I111" s="1">
        <v>0.91968319999999992</v>
      </c>
    </row>
    <row r="112" spans="1:9">
      <c r="A112" s="7">
        <v>205</v>
      </c>
      <c r="B112" s="1" t="s">
        <v>0</v>
      </c>
      <c r="C112" s="1">
        <v>-0.17</v>
      </c>
      <c r="D112" s="1">
        <v>0.88475325999999999</v>
      </c>
      <c r="F112" s="7">
        <v>205</v>
      </c>
      <c r="G112" s="1" t="s">
        <v>24</v>
      </c>
      <c r="H112" s="1">
        <v>-0.17</v>
      </c>
      <c r="I112" s="1">
        <v>0.91502030000000001</v>
      </c>
    </row>
    <row r="113" spans="1:22">
      <c r="A113" s="7">
        <v>205</v>
      </c>
      <c r="B113" s="1" t="s">
        <v>0</v>
      </c>
      <c r="C113" s="1">
        <v>-0.18</v>
      </c>
      <c r="D113" s="1">
        <v>0.88009015999999995</v>
      </c>
      <c r="F113" s="7">
        <v>205</v>
      </c>
      <c r="G113" s="1" t="s">
        <v>24</v>
      </c>
      <c r="H113" s="1">
        <v>-0.18</v>
      </c>
      <c r="I113" s="1">
        <v>0.91022880000000006</v>
      </c>
    </row>
    <row r="114" spans="1:22">
      <c r="A114" s="7">
        <v>205</v>
      </c>
      <c r="B114" s="1" t="s">
        <v>0</v>
      </c>
      <c r="C114" s="1">
        <v>-0.19</v>
      </c>
      <c r="D114" s="1">
        <v>0.87551773999999993</v>
      </c>
      <c r="F114" s="7">
        <v>205</v>
      </c>
      <c r="G114" s="1" t="s">
        <v>24</v>
      </c>
      <c r="H114" s="1">
        <v>-0.19</v>
      </c>
      <c r="I114" s="1">
        <v>0.90530870000000008</v>
      </c>
    </row>
    <row r="115" spans="1:22">
      <c r="A115" s="7">
        <v>205</v>
      </c>
      <c r="B115" s="1" t="s">
        <v>0</v>
      </c>
      <c r="C115" s="1">
        <v>-0.2</v>
      </c>
      <c r="D115" s="1">
        <v>0.87103600000000003</v>
      </c>
      <c r="F115" s="7">
        <v>205</v>
      </c>
      <c r="G115" s="1" t="s">
        <v>24</v>
      </c>
      <c r="H115" s="1">
        <v>-0.2</v>
      </c>
      <c r="I115" s="1">
        <v>0.90026000000000006</v>
      </c>
    </row>
    <row r="116" spans="1:22">
      <c r="A116" s="7">
        <v>260</v>
      </c>
      <c r="B116" s="1" t="s">
        <v>0</v>
      </c>
      <c r="C116" s="1">
        <v>-0.01</v>
      </c>
      <c r="D116" s="1">
        <v>0.99182548000000004</v>
      </c>
      <c r="F116" s="7">
        <v>260</v>
      </c>
      <c r="G116" s="1" t="s">
        <v>24</v>
      </c>
      <c r="H116" s="1">
        <v>-0.01</v>
      </c>
      <c r="I116" s="1">
        <v>0.99525972000000007</v>
      </c>
      <c r="Q116" s="1"/>
    </row>
    <row r="117" spans="1:22">
      <c r="A117" s="7">
        <v>260</v>
      </c>
      <c r="B117" s="1" t="s">
        <v>0</v>
      </c>
      <c r="C117" s="1">
        <v>-0.02</v>
      </c>
      <c r="D117" s="1">
        <v>0.99151752000000004</v>
      </c>
      <c r="F117" s="7">
        <v>260</v>
      </c>
      <c r="G117" s="1" t="s">
        <v>24</v>
      </c>
      <c r="H117" s="1">
        <v>-0.02</v>
      </c>
      <c r="I117" s="1">
        <v>0.99334887999999999</v>
      </c>
      <c r="Q117" s="8"/>
      <c r="R117" s="9"/>
      <c r="S117" s="9"/>
      <c r="T117" s="9"/>
      <c r="U117" s="9"/>
      <c r="V117" s="9"/>
    </row>
    <row r="118" spans="1:22">
      <c r="A118" s="7">
        <v>260</v>
      </c>
      <c r="B118" s="1" t="s">
        <v>0</v>
      </c>
      <c r="C118" s="1">
        <v>-0.03</v>
      </c>
      <c r="D118" s="1">
        <v>0.99077612000000004</v>
      </c>
      <c r="F118" s="7">
        <v>260</v>
      </c>
      <c r="G118" s="1" t="s">
        <v>24</v>
      </c>
      <c r="H118" s="1">
        <v>-0.03</v>
      </c>
      <c r="I118" s="1">
        <v>0.99126747999999998</v>
      </c>
      <c r="Q118" s="8"/>
      <c r="R118" s="10"/>
      <c r="S118" s="9"/>
      <c r="T118" s="9"/>
      <c r="U118" s="10"/>
      <c r="V118" s="9"/>
    </row>
    <row r="119" spans="1:22">
      <c r="A119" s="7">
        <v>260</v>
      </c>
      <c r="B119" s="1" t="s">
        <v>0</v>
      </c>
      <c r="C119" s="1">
        <v>-0.04</v>
      </c>
      <c r="D119" s="1">
        <v>0.98960128000000003</v>
      </c>
      <c r="F119" s="7">
        <v>260</v>
      </c>
      <c r="G119" s="1" t="s">
        <v>24</v>
      </c>
      <c r="H119" s="1">
        <v>-0.04</v>
      </c>
      <c r="I119" s="1">
        <v>0.98901552000000004</v>
      </c>
      <c r="Q119" s="8"/>
      <c r="R119" s="9"/>
      <c r="S119" s="9"/>
      <c r="T119" s="9"/>
      <c r="U119" s="9"/>
      <c r="V119" s="9"/>
    </row>
    <row r="120" spans="1:22">
      <c r="A120" s="7">
        <v>260</v>
      </c>
      <c r="B120" s="1" t="s">
        <v>0</v>
      </c>
      <c r="C120" s="1">
        <v>-0.05</v>
      </c>
      <c r="D120" s="1">
        <v>0.98799300000000001</v>
      </c>
      <c r="F120" s="7">
        <v>260</v>
      </c>
      <c r="G120" s="1" t="s">
        <v>24</v>
      </c>
      <c r="H120" s="1">
        <v>-0.05</v>
      </c>
      <c r="I120" s="1">
        <v>0.98659299999999994</v>
      </c>
      <c r="Q120" s="8"/>
      <c r="R120" s="9"/>
      <c r="S120" s="9"/>
      <c r="T120" s="9"/>
      <c r="U120" s="9"/>
      <c r="V120" s="11"/>
    </row>
    <row r="121" spans="1:22">
      <c r="A121" s="7">
        <v>260</v>
      </c>
      <c r="B121" s="1" t="s">
        <v>0</v>
      </c>
      <c r="C121" s="1">
        <v>-0.06</v>
      </c>
      <c r="D121" s="1">
        <v>0.98595127999999999</v>
      </c>
      <c r="F121" s="7">
        <v>260</v>
      </c>
      <c r="G121" s="1" t="s">
        <v>24</v>
      </c>
      <c r="H121" s="1">
        <v>-0.06</v>
      </c>
      <c r="I121" s="1">
        <v>0.98399992000000003</v>
      </c>
      <c r="Q121" s="12" t="s">
        <v>0</v>
      </c>
    </row>
    <row r="122" spans="1:22" ht="26.4">
      <c r="A122" s="7">
        <v>260</v>
      </c>
      <c r="B122" s="1" t="s">
        <v>0</v>
      </c>
      <c r="C122" s="1">
        <v>-7.0000000000000007E-2</v>
      </c>
      <c r="D122" s="1">
        <v>0.98347612000000006</v>
      </c>
      <c r="F122" s="7">
        <v>260</v>
      </c>
      <c r="G122" s="1" t="s">
        <v>24</v>
      </c>
      <c r="H122" s="1">
        <v>-7.0000000000000007E-2</v>
      </c>
      <c r="I122" s="1">
        <v>0.98123628000000007</v>
      </c>
      <c r="Q122" s="8" t="s">
        <v>31</v>
      </c>
      <c r="R122" s="8" t="s">
        <v>32</v>
      </c>
      <c r="S122" s="8" t="s">
        <v>33</v>
      </c>
      <c r="T122" s="8" t="s">
        <v>34</v>
      </c>
      <c r="U122" s="8" t="s">
        <v>35</v>
      </c>
      <c r="V122" s="8" t="s">
        <v>36</v>
      </c>
    </row>
    <row r="123" spans="1:22">
      <c r="A123" s="7">
        <v>260</v>
      </c>
      <c r="B123" s="1" t="s">
        <v>0</v>
      </c>
      <c r="C123" s="1">
        <v>-0.08</v>
      </c>
      <c r="D123" s="1">
        <v>0.98056752000000003</v>
      </c>
      <c r="F123" s="7">
        <v>260</v>
      </c>
      <c r="G123" s="1" t="s">
        <v>24</v>
      </c>
      <c r="H123" s="1">
        <v>-0.08</v>
      </c>
      <c r="I123" s="1">
        <v>0.97830207999999996</v>
      </c>
      <c r="Q123" s="8" t="s">
        <v>29</v>
      </c>
      <c r="R123" s="9">
        <v>1.0127999999999999</v>
      </c>
      <c r="S123" s="9">
        <v>1.1509999999999999E-2</v>
      </c>
      <c r="T123" s="9">
        <v>96</v>
      </c>
      <c r="U123" s="9">
        <v>87.99</v>
      </c>
      <c r="V123" s="9" t="s">
        <v>30</v>
      </c>
    </row>
    <row r="124" spans="1:22">
      <c r="A124" s="7">
        <v>260</v>
      </c>
      <c r="B124" s="1" t="s">
        <v>0</v>
      </c>
      <c r="C124" s="1">
        <v>-0.09</v>
      </c>
      <c r="D124" s="1">
        <v>0.97722547999999998</v>
      </c>
      <c r="F124" s="7">
        <v>260</v>
      </c>
      <c r="G124" s="1" t="s">
        <v>24</v>
      </c>
      <c r="H124" s="1">
        <v>-0.09</v>
      </c>
      <c r="I124" s="1">
        <v>0.97519732000000003</v>
      </c>
      <c r="Q124" s="8" t="s">
        <v>26</v>
      </c>
      <c r="R124" s="10">
        <v>-9.0000000000000006E-5</v>
      </c>
      <c r="S124" s="9">
        <v>6.6000000000000005E-5</v>
      </c>
      <c r="T124" s="9">
        <v>96</v>
      </c>
      <c r="U124" s="10">
        <v>-1.34</v>
      </c>
      <c r="V124" s="9">
        <v>0.18329999999999999</v>
      </c>
    </row>
    <row r="125" spans="1:22">
      <c r="A125" s="7">
        <v>260</v>
      </c>
      <c r="B125" s="1" t="s">
        <v>0</v>
      </c>
      <c r="C125" s="1">
        <v>-0.1</v>
      </c>
      <c r="D125" s="1">
        <v>0.97345000000000004</v>
      </c>
      <c r="F125" s="7">
        <v>260</v>
      </c>
      <c r="G125" s="1" t="s">
        <v>24</v>
      </c>
      <c r="H125" s="1">
        <v>-0.1</v>
      </c>
      <c r="I125" s="1">
        <v>0.97192200000000006</v>
      </c>
      <c r="Q125" s="8" t="s">
        <v>28</v>
      </c>
      <c r="R125" s="9">
        <v>0.186</v>
      </c>
      <c r="S125" s="9">
        <v>9.6089999999999995E-2</v>
      </c>
      <c r="T125" s="9">
        <v>96</v>
      </c>
      <c r="U125" s="9">
        <v>1.94</v>
      </c>
      <c r="V125" s="9">
        <v>5.5899999999999998E-2</v>
      </c>
    </row>
    <row r="126" spans="1:22" ht="26.4">
      <c r="A126" s="7">
        <v>260</v>
      </c>
      <c r="B126" s="1" t="s">
        <v>0</v>
      </c>
      <c r="C126" s="1">
        <v>-0.11</v>
      </c>
      <c r="D126" s="1">
        <v>0.96924107999999998</v>
      </c>
      <c r="F126" s="7">
        <v>260</v>
      </c>
      <c r="G126" s="1" t="s">
        <v>24</v>
      </c>
      <c r="H126" s="1">
        <v>-0.11</v>
      </c>
      <c r="I126" s="1">
        <v>0.96847611999999994</v>
      </c>
      <c r="Q126" s="8" t="s">
        <v>37</v>
      </c>
      <c r="R126" s="9">
        <v>1.186E-3</v>
      </c>
      <c r="S126" s="9">
        <v>5.5400000000000002E-4</v>
      </c>
      <c r="T126" s="9">
        <v>96</v>
      </c>
      <c r="U126" s="9">
        <v>2.14</v>
      </c>
      <c r="V126" s="9">
        <v>3.4700000000000002E-2</v>
      </c>
    </row>
    <row r="127" spans="1:22">
      <c r="A127" s="7">
        <v>260</v>
      </c>
      <c r="B127" s="1" t="s">
        <v>0</v>
      </c>
      <c r="C127" s="1">
        <v>-0.12</v>
      </c>
      <c r="D127" s="1">
        <v>0.96459872000000002</v>
      </c>
      <c r="F127" s="7">
        <v>260</v>
      </c>
      <c r="G127" s="1" t="s">
        <v>24</v>
      </c>
      <c r="H127" s="1">
        <v>-0.12</v>
      </c>
      <c r="I127" s="1">
        <v>0.96485968</v>
      </c>
    </row>
    <row r="128" spans="1:22">
      <c r="A128" s="7">
        <v>260</v>
      </c>
      <c r="B128" s="1" t="s">
        <v>0</v>
      </c>
      <c r="C128" s="1">
        <v>-0.13</v>
      </c>
      <c r="D128" s="1">
        <v>0.95952292000000006</v>
      </c>
      <c r="F128" s="7">
        <v>260</v>
      </c>
      <c r="G128" s="1" t="s">
        <v>24</v>
      </c>
      <c r="H128" s="1">
        <v>-0.13</v>
      </c>
      <c r="I128" s="1">
        <v>0.96107268000000001</v>
      </c>
      <c r="Q128" s="12"/>
    </row>
    <row r="129" spans="1:22">
      <c r="A129" s="7">
        <v>260</v>
      </c>
      <c r="B129" s="1" t="s">
        <v>0</v>
      </c>
      <c r="C129" s="1">
        <v>-0.14000000000000001</v>
      </c>
      <c r="D129" s="1">
        <v>0.95401367999999998</v>
      </c>
      <c r="F129" s="7">
        <v>260</v>
      </c>
      <c r="G129" s="1" t="s">
        <v>24</v>
      </c>
      <c r="H129" s="1">
        <v>-0.14000000000000001</v>
      </c>
      <c r="I129" s="1">
        <v>0.95711511999999999</v>
      </c>
      <c r="Q129" s="8"/>
      <c r="R129" s="8"/>
      <c r="S129" s="8"/>
      <c r="T129" s="8"/>
      <c r="U129" s="8"/>
      <c r="V129" s="8"/>
    </row>
    <row r="130" spans="1:22">
      <c r="A130" s="7">
        <v>260</v>
      </c>
      <c r="B130" s="1" t="s">
        <v>0</v>
      </c>
      <c r="C130" s="1">
        <v>-0.15</v>
      </c>
      <c r="D130" s="1">
        <v>0.94807100000000011</v>
      </c>
      <c r="F130" s="7">
        <v>260</v>
      </c>
      <c r="G130" s="1" t="s">
        <v>24</v>
      </c>
      <c r="H130" s="1">
        <v>-0.15</v>
      </c>
      <c r="I130" s="1">
        <v>0.95298700000000003</v>
      </c>
      <c r="Q130" s="8"/>
      <c r="R130" s="9"/>
      <c r="S130" s="9"/>
      <c r="T130" s="9"/>
      <c r="U130" s="9"/>
      <c r="V130" s="9"/>
    </row>
    <row r="131" spans="1:22">
      <c r="A131" s="7">
        <v>260</v>
      </c>
      <c r="B131" s="1" t="s">
        <v>0</v>
      </c>
      <c r="C131" s="1">
        <v>-0.16</v>
      </c>
      <c r="D131" s="1">
        <v>0.94169488000000001</v>
      </c>
      <c r="F131" s="7">
        <v>260</v>
      </c>
      <c r="G131" s="1" t="s">
        <v>24</v>
      </c>
      <c r="H131" s="1">
        <v>-0.16</v>
      </c>
      <c r="I131" s="1">
        <v>0.94868832000000003</v>
      </c>
      <c r="Q131" s="8"/>
      <c r="R131" s="10"/>
      <c r="S131" s="9"/>
      <c r="T131" s="9"/>
      <c r="U131" s="10"/>
      <c r="V131" s="9"/>
    </row>
    <row r="132" spans="1:22">
      <c r="A132" s="7">
        <v>260</v>
      </c>
      <c r="B132" s="1" t="s">
        <v>0</v>
      </c>
      <c r="C132" s="1">
        <v>-0.17</v>
      </c>
      <c r="D132" s="1">
        <v>0.93488532000000002</v>
      </c>
      <c r="F132" s="7">
        <v>260</v>
      </c>
      <c r="G132" s="1" t="s">
        <v>24</v>
      </c>
      <c r="H132" s="1">
        <v>-0.17</v>
      </c>
      <c r="I132" s="1">
        <v>0.94421907999999999</v>
      </c>
      <c r="Q132" s="8"/>
      <c r="R132" s="9"/>
      <c r="S132" s="9"/>
      <c r="T132" s="9"/>
      <c r="U132" s="9"/>
      <c r="V132" s="9"/>
    </row>
    <row r="133" spans="1:22">
      <c r="A133" s="7">
        <v>260</v>
      </c>
      <c r="B133" s="1" t="s">
        <v>0</v>
      </c>
      <c r="C133" s="1">
        <v>-0.18</v>
      </c>
      <c r="D133" s="1">
        <v>0.92764232000000013</v>
      </c>
      <c r="F133" s="7">
        <v>260</v>
      </c>
      <c r="G133" s="1" t="s">
        <v>24</v>
      </c>
      <c r="H133" s="1">
        <v>-0.18</v>
      </c>
      <c r="I133" s="1">
        <v>0.93957928000000002</v>
      </c>
      <c r="Q133" s="8"/>
      <c r="R133" s="9"/>
      <c r="S133" s="9"/>
      <c r="T133" s="9"/>
      <c r="U133" s="9"/>
      <c r="V133" s="11"/>
    </row>
    <row r="134" spans="1:22">
      <c r="A134" s="7">
        <v>260</v>
      </c>
      <c r="B134" s="1" t="s">
        <v>0</v>
      </c>
      <c r="C134" s="1">
        <v>-0.19</v>
      </c>
      <c r="D134" s="1">
        <v>0.91996588000000001</v>
      </c>
      <c r="F134" s="7">
        <v>260</v>
      </c>
      <c r="G134" s="1" t="s">
        <v>24</v>
      </c>
      <c r="H134" s="1">
        <v>-0.19</v>
      </c>
      <c r="I134" s="1">
        <v>0.93476891999999989</v>
      </c>
    </row>
    <row r="135" spans="1:22">
      <c r="A135" s="7">
        <v>260</v>
      </c>
      <c r="B135" s="1" t="s">
        <v>0</v>
      </c>
      <c r="C135" s="1">
        <v>-0.2</v>
      </c>
      <c r="D135" s="1">
        <v>0.911856</v>
      </c>
      <c r="F135" s="7">
        <v>260</v>
      </c>
      <c r="G135" s="1" t="s">
        <v>24</v>
      </c>
      <c r="H135" s="1">
        <v>-0.2</v>
      </c>
      <c r="I135" s="1">
        <v>0.92978799999999995</v>
      </c>
      <c r="Q135" s="12" t="s">
        <v>24</v>
      </c>
    </row>
    <row r="136" spans="1:22">
      <c r="Q136" s="8" t="s">
        <v>29</v>
      </c>
      <c r="R136" s="9">
        <v>0.98719999999999997</v>
      </c>
      <c r="S136" s="9">
        <v>6.3460000000000001E-3</v>
      </c>
      <c r="T136" s="9">
        <v>96</v>
      </c>
      <c r="U136" s="9">
        <v>155.55000000000001</v>
      </c>
      <c r="V136" s="9" t="s">
        <v>30</v>
      </c>
    </row>
    <row r="137" spans="1:22">
      <c r="A137" s="1"/>
      <c r="Q137" s="8" t="s">
        <v>26</v>
      </c>
      <c r="R137" s="9">
        <v>3.0000000000000001E-5</v>
      </c>
      <c r="S137" s="9">
        <v>3.6999999999999998E-5</v>
      </c>
      <c r="T137" s="9">
        <v>96</v>
      </c>
      <c r="U137" s="9">
        <v>0.81</v>
      </c>
      <c r="V137" s="9">
        <v>0.41899999999999998</v>
      </c>
    </row>
    <row r="138" spans="1:22">
      <c r="Q138" s="8" t="s">
        <v>28</v>
      </c>
      <c r="R138" s="9">
        <v>0.20730000000000001</v>
      </c>
      <c r="S138" s="9">
        <v>5.2979999999999999E-2</v>
      </c>
      <c r="T138" s="9">
        <v>96</v>
      </c>
      <c r="U138" s="9">
        <v>3.91</v>
      </c>
      <c r="V138" s="9">
        <v>2.0000000000000001E-4</v>
      </c>
    </row>
    <row r="139" spans="1:22" ht="26.4">
      <c r="B139" s="13"/>
      <c r="C139" s="13"/>
      <c r="D139" s="13"/>
      <c r="E139" s="13"/>
      <c r="Q139" s="8" t="s">
        <v>37</v>
      </c>
      <c r="R139" s="9">
        <v>7.2599999999999997E-4</v>
      </c>
      <c r="S139" s="9">
        <v>3.0499999999999999E-4</v>
      </c>
      <c r="T139" s="9">
        <v>96</v>
      </c>
      <c r="U139" s="9">
        <v>2.38</v>
      </c>
      <c r="V139" s="9">
        <v>1.9400000000000001E-2</v>
      </c>
    </row>
    <row r="140" spans="1:22">
      <c r="B140" s="13"/>
      <c r="C140" s="13"/>
      <c r="D140" s="13"/>
      <c r="E140" s="13"/>
    </row>
    <row r="141" spans="1:22">
      <c r="B141" s="13"/>
      <c r="C141" s="13"/>
      <c r="D141" s="13"/>
      <c r="E141" s="13"/>
    </row>
    <row r="142" spans="1:22">
      <c r="B142" s="13"/>
      <c r="C142" s="13"/>
      <c r="D142" s="13"/>
      <c r="E142" s="13"/>
    </row>
    <row r="143" spans="1:22">
      <c r="B143" s="13"/>
      <c r="C143" s="13"/>
      <c r="D143" s="13"/>
      <c r="E143" s="13"/>
    </row>
    <row r="144" spans="1:22">
      <c r="A144" s="1"/>
      <c r="B144" s="13"/>
      <c r="C144" s="13"/>
      <c r="D144" s="13"/>
      <c r="E144" s="13"/>
    </row>
    <row r="145" spans="1:6">
      <c r="A145" s="1" t="s">
        <v>0</v>
      </c>
    </row>
    <row r="146" spans="1:6">
      <c r="A146" s="1"/>
      <c r="B146">
        <v>0</v>
      </c>
      <c r="C146" s="1">
        <v>-0.03</v>
      </c>
      <c r="D146" s="1">
        <v>-0.06</v>
      </c>
      <c r="E146" s="1">
        <v>-0.09</v>
      </c>
      <c r="F146" s="1">
        <v>-0.12</v>
      </c>
    </row>
    <row r="147" spans="1:6">
      <c r="A147" s="2">
        <v>50</v>
      </c>
      <c r="B147" s="13">
        <f t="shared" ref="B147:F152" si="3">$R$123+$R$124*$A147+$R$125*B$146+$R$126*$A147*B$146</f>
        <v>1.0083</v>
      </c>
      <c r="C147" s="13">
        <f t="shared" si="3"/>
        <v>1.0009410000000001</v>
      </c>
      <c r="D147" s="13">
        <f t="shared" si="3"/>
        <v>0.99358200000000008</v>
      </c>
      <c r="E147" s="13">
        <f t="shared" si="3"/>
        <v>0.98622299999999996</v>
      </c>
      <c r="F147" s="13">
        <f t="shared" si="3"/>
        <v>0.97886399999999996</v>
      </c>
    </row>
    <row r="148" spans="1:6">
      <c r="A148" s="2">
        <v>90</v>
      </c>
      <c r="B148" s="13">
        <f t="shared" si="3"/>
        <v>1.0046999999999999</v>
      </c>
      <c r="C148" s="13">
        <f t="shared" si="3"/>
        <v>0.99591779999999985</v>
      </c>
      <c r="D148" s="13">
        <f t="shared" si="3"/>
        <v>0.9871356</v>
      </c>
      <c r="E148" s="13">
        <f t="shared" si="3"/>
        <v>0.97835339999999993</v>
      </c>
      <c r="F148" s="13">
        <f t="shared" si="3"/>
        <v>0.96957119999999997</v>
      </c>
    </row>
    <row r="149" spans="1:6">
      <c r="A149" s="2">
        <v>130</v>
      </c>
      <c r="B149" s="13">
        <f t="shared" si="3"/>
        <v>1.0010999999999999</v>
      </c>
      <c r="C149" s="13">
        <f t="shared" si="3"/>
        <v>0.99089459999999985</v>
      </c>
      <c r="D149" s="13">
        <f t="shared" si="3"/>
        <v>0.98068919999999993</v>
      </c>
      <c r="E149" s="13">
        <f t="shared" si="3"/>
        <v>0.9704837999999999</v>
      </c>
      <c r="F149" s="13">
        <f t="shared" si="3"/>
        <v>0.96027839999999987</v>
      </c>
    </row>
    <row r="150" spans="1:6">
      <c r="A150" s="2">
        <v>180</v>
      </c>
      <c r="B150" s="13">
        <f t="shared" si="3"/>
        <v>0.99659999999999993</v>
      </c>
      <c r="C150" s="13">
        <f t="shared" si="3"/>
        <v>0.98461559999999992</v>
      </c>
      <c r="D150" s="13">
        <f t="shared" si="3"/>
        <v>0.97263120000000003</v>
      </c>
      <c r="E150" s="13">
        <f t="shared" si="3"/>
        <v>0.96064679999999991</v>
      </c>
      <c r="F150" s="13">
        <f t="shared" si="3"/>
        <v>0.94866239999999991</v>
      </c>
    </row>
    <row r="151" spans="1:6">
      <c r="A151" s="2">
        <v>230</v>
      </c>
      <c r="B151" s="13">
        <f t="shared" si="3"/>
        <v>0.99209999999999987</v>
      </c>
      <c r="C151" s="13">
        <f t="shared" si="3"/>
        <v>0.97833659999999989</v>
      </c>
      <c r="D151" s="13">
        <f t="shared" si="3"/>
        <v>0.96457319999999991</v>
      </c>
      <c r="E151" s="13">
        <f t="shared" si="3"/>
        <v>0.95080979999999993</v>
      </c>
      <c r="F151" s="13">
        <f t="shared" si="3"/>
        <v>0.93704639999999984</v>
      </c>
    </row>
    <row r="152" spans="1:6">
      <c r="A152" s="2">
        <v>280</v>
      </c>
      <c r="B152" s="13">
        <f t="shared" si="3"/>
        <v>0.98759999999999992</v>
      </c>
      <c r="C152" s="13">
        <f t="shared" si="3"/>
        <v>0.97205759999999986</v>
      </c>
      <c r="D152" s="13">
        <f t="shared" si="3"/>
        <v>0.95651520000000001</v>
      </c>
      <c r="E152" s="13">
        <f t="shared" si="3"/>
        <v>0.94097279999999994</v>
      </c>
      <c r="F152" s="13">
        <f t="shared" si="3"/>
        <v>0.92543039999999988</v>
      </c>
    </row>
    <row r="153" spans="1:6">
      <c r="A153" s="1"/>
    </row>
    <row r="154" spans="1:6">
      <c r="A154" s="1" t="s">
        <v>24</v>
      </c>
    </row>
    <row r="155" spans="1:6">
      <c r="A155" s="1"/>
      <c r="B155">
        <v>0</v>
      </c>
      <c r="C155" s="1">
        <v>-0.03</v>
      </c>
      <c r="D155" s="1">
        <v>-0.06</v>
      </c>
      <c r="E155" s="1">
        <v>-0.09</v>
      </c>
      <c r="F155" s="1">
        <v>-0.12</v>
      </c>
    </row>
    <row r="156" spans="1:6">
      <c r="A156" s="3">
        <v>50</v>
      </c>
      <c r="B156" s="14">
        <f>$R$136+$R$137*$A156+$R$138*B$155+$R$139*B$155*$A156</f>
        <v>0.98869999999999991</v>
      </c>
      <c r="C156" s="13">
        <f>$R$136+$R$137*$A156+$R$138*C$155+$R$139*C$155*$A156</f>
        <v>0.98139199999999993</v>
      </c>
      <c r="D156" s="13">
        <f>$R$136+$R$137*$A156+$R$138*D$155+$R$139*D$155*$A156</f>
        <v>0.97408399999999995</v>
      </c>
      <c r="E156" s="13">
        <f>$R$136+$R$137*$A156+$R$138*E$155+$R$139*E$155*$A156</f>
        <v>0.96677599999999986</v>
      </c>
      <c r="F156" s="13">
        <f>$R$136+$R$137*$A156+$R$138*F$155+$R$139*F$155*$A156</f>
        <v>0.95946799999999988</v>
      </c>
    </row>
    <row r="157" spans="1:6">
      <c r="A157" s="3">
        <v>90</v>
      </c>
      <c r="B157" s="14">
        <f t="shared" ref="B157:B161" si="4">$R$136+$R$137*$A157+$R$138*B$155+$R$139*B$155*$A157</f>
        <v>0.9899</v>
      </c>
      <c r="C157" s="13">
        <f t="shared" ref="C157:F161" si="5">$R$136+$R$137*$A157+$R$138*C$155+$R$139*C$155*$A157</f>
        <v>0.98172080000000006</v>
      </c>
      <c r="D157" s="13">
        <f t="shared" si="5"/>
        <v>0.97354160000000001</v>
      </c>
      <c r="E157" s="13">
        <f t="shared" si="5"/>
        <v>0.96536239999999995</v>
      </c>
      <c r="F157" s="13">
        <f t="shared" si="5"/>
        <v>0.95718320000000001</v>
      </c>
    </row>
    <row r="158" spans="1:6">
      <c r="A158" s="3">
        <v>130</v>
      </c>
      <c r="B158" s="14">
        <f t="shared" si="4"/>
        <v>0.99109999999999998</v>
      </c>
      <c r="C158" s="13">
        <f t="shared" si="5"/>
        <v>0.98204959999999997</v>
      </c>
      <c r="D158" s="13">
        <f t="shared" si="5"/>
        <v>0.97299920000000006</v>
      </c>
      <c r="E158" s="13">
        <f t="shared" si="5"/>
        <v>0.96394879999999994</v>
      </c>
      <c r="F158" s="13">
        <f t="shared" si="5"/>
        <v>0.95489839999999993</v>
      </c>
    </row>
    <row r="159" spans="1:6">
      <c r="A159" s="3">
        <v>180</v>
      </c>
      <c r="B159" s="14">
        <f t="shared" si="4"/>
        <v>0.99259999999999993</v>
      </c>
      <c r="C159" s="13">
        <f t="shared" si="5"/>
        <v>0.98246059999999991</v>
      </c>
      <c r="D159" s="13">
        <f t="shared" si="5"/>
        <v>0.9723212</v>
      </c>
      <c r="E159" s="13">
        <f t="shared" si="5"/>
        <v>0.96218179999999986</v>
      </c>
      <c r="F159" s="13">
        <f t="shared" si="5"/>
        <v>0.95204239999999996</v>
      </c>
    </row>
    <row r="160" spans="1:6">
      <c r="A160" s="3">
        <v>230</v>
      </c>
      <c r="B160" s="14">
        <f t="shared" si="4"/>
        <v>0.99409999999999998</v>
      </c>
      <c r="C160" s="13">
        <f t="shared" si="5"/>
        <v>0.98287159999999996</v>
      </c>
      <c r="D160" s="13">
        <f t="shared" si="5"/>
        <v>0.97164320000000004</v>
      </c>
      <c r="E160" s="13">
        <f t="shared" si="5"/>
        <v>0.9604147999999999</v>
      </c>
      <c r="F160" s="13">
        <f t="shared" si="5"/>
        <v>0.94918639999999999</v>
      </c>
    </row>
    <row r="161" spans="1:6">
      <c r="A161" s="3">
        <v>280</v>
      </c>
      <c r="B161" s="14">
        <f t="shared" si="4"/>
        <v>0.99559999999999993</v>
      </c>
      <c r="C161" s="13">
        <f t="shared" si="5"/>
        <v>0.98328260000000001</v>
      </c>
      <c r="D161" s="13">
        <f t="shared" si="5"/>
        <v>0.97096519999999997</v>
      </c>
      <c r="E161" s="13">
        <f t="shared" si="5"/>
        <v>0.95864779999999994</v>
      </c>
      <c r="F161" s="13">
        <f t="shared" si="5"/>
        <v>0.9463303999999999</v>
      </c>
    </row>
  </sheetData>
  <sortState ref="A7:E16">
    <sortCondition ref="B7:B16"/>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43"/>
  <sheetViews>
    <sheetView topLeftCell="A117" workbookViewId="0">
      <selection activeCell="K126" sqref="K126"/>
    </sheetView>
  </sheetViews>
  <sheetFormatPr defaultRowHeight="14.4"/>
  <cols>
    <col min="6" max="9" width="0" hidden="1" customWidth="1"/>
    <col min="10" max="10" width="8.88671875" style="1"/>
  </cols>
  <sheetData>
    <row r="1" spans="1:48" ht="15.6">
      <c r="A1" s="150" t="s">
        <v>38</v>
      </c>
      <c r="B1" s="151" t="s">
        <v>39</v>
      </c>
      <c r="C1" s="149" t="s">
        <v>40</v>
      </c>
      <c r="D1" s="149"/>
      <c r="E1" s="149"/>
      <c r="F1" s="149" t="s">
        <v>0</v>
      </c>
      <c r="G1" s="149"/>
      <c r="H1" s="149"/>
      <c r="I1" s="149"/>
      <c r="J1" s="17"/>
      <c r="K1" s="149" t="s">
        <v>41</v>
      </c>
      <c r="L1" s="149"/>
      <c r="M1" s="149"/>
      <c r="N1" s="149"/>
      <c r="O1" s="149" t="s">
        <v>42</v>
      </c>
      <c r="P1" s="149"/>
      <c r="Q1" s="149"/>
      <c r="R1" s="149"/>
      <c r="S1" s="149" t="s">
        <v>43</v>
      </c>
      <c r="T1" s="149"/>
      <c r="U1" s="149"/>
      <c r="V1" s="149"/>
      <c r="W1" s="149" t="s">
        <v>44</v>
      </c>
      <c r="X1" s="149"/>
      <c r="Y1" s="149"/>
      <c r="Z1" s="149"/>
      <c r="AA1" s="149"/>
      <c r="AB1" s="149" t="s">
        <v>45</v>
      </c>
      <c r="AC1" s="149"/>
      <c r="AD1" s="154" t="s">
        <v>46</v>
      </c>
      <c r="AE1" s="154"/>
      <c r="AF1" s="154"/>
      <c r="AG1" s="154"/>
      <c r="AH1" s="154"/>
      <c r="AI1" s="149" t="s">
        <v>47</v>
      </c>
      <c r="AJ1" s="149"/>
      <c r="AK1" s="149"/>
      <c r="AL1" s="152" t="s">
        <v>48</v>
      </c>
      <c r="AM1" s="152"/>
      <c r="AN1" s="152" t="s">
        <v>6</v>
      </c>
      <c r="AO1" s="152"/>
      <c r="AP1" s="152"/>
      <c r="AQ1" s="152"/>
      <c r="AR1" s="153" t="s">
        <v>49</v>
      </c>
      <c r="AS1" s="153"/>
      <c r="AT1" s="153"/>
      <c r="AU1" s="153"/>
      <c r="AV1" s="153"/>
    </row>
    <row r="2" spans="1:48" ht="31.2">
      <c r="A2" s="150"/>
      <c r="B2" s="151"/>
      <c r="C2" s="15" t="s">
        <v>50</v>
      </c>
      <c r="D2" s="15" t="s">
        <v>51</v>
      </c>
      <c r="E2" s="15" t="s">
        <v>52</v>
      </c>
      <c r="F2" s="15" t="s">
        <v>50</v>
      </c>
      <c r="G2" s="15" t="s">
        <v>51</v>
      </c>
      <c r="H2" s="15" t="s">
        <v>52</v>
      </c>
      <c r="I2" s="15" t="s">
        <v>53</v>
      </c>
      <c r="J2" s="15"/>
      <c r="K2" s="15" t="s">
        <v>54</v>
      </c>
      <c r="L2" s="15" t="s">
        <v>55</v>
      </c>
      <c r="M2" s="15" t="s">
        <v>52</v>
      </c>
      <c r="N2" s="15" t="s">
        <v>53</v>
      </c>
      <c r="O2" s="15" t="s">
        <v>50</v>
      </c>
      <c r="P2" s="15" t="s">
        <v>51</v>
      </c>
      <c r="Q2" s="15" t="s">
        <v>52</v>
      </c>
      <c r="R2" s="15" t="s">
        <v>53</v>
      </c>
      <c r="S2" s="15" t="s">
        <v>50</v>
      </c>
      <c r="T2" s="15" t="s">
        <v>51</v>
      </c>
      <c r="U2" s="15" t="s">
        <v>52</v>
      </c>
      <c r="V2" s="15" t="s">
        <v>53</v>
      </c>
      <c r="W2" s="15" t="s">
        <v>56</v>
      </c>
      <c r="X2" s="15" t="s">
        <v>55</v>
      </c>
      <c r="Y2" s="15" t="s">
        <v>57</v>
      </c>
      <c r="Z2" s="15" t="s">
        <v>53</v>
      </c>
      <c r="AA2" s="15" t="s">
        <v>58</v>
      </c>
      <c r="AB2" s="15" t="s">
        <v>59</v>
      </c>
      <c r="AC2" s="15" t="s">
        <v>53</v>
      </c>
      <c r="AD2" s="15" t="s">
        <v>56</v>
      </c>
      <c r="AE2" s="15" t="s">
        <v>55</v>
      </c>
      <c r="AF2" s="15" t="s">
        <v>57</v>
      </c>
      <c r="AG2" s="15" t="s">
        <v>53</v>
      </c>
      <c r="AH2" s="16" t="s">
        <v>60</v>
      </c>
      <c r="AI2" s="15" t="s">
        <v>61</v>
      </c>
      <c r="AJ2" s="15" t="s">
        <v>53</v>
      </c>
      <c r="AK2" s="15" t="s">
        <v>58</v>
      </c>
      <c r="AL2" s="15" t="s">
        <v>50</v>
      </c>
      <c r="AM2" s="15" t="s">
        <v>51</v>
      </c>
      <c r="AN2" s="15" t="s">
        <v>50</v>
      </c>
      <c r="AO2" s="15" t="s">
        <v>51</v>
      </c>
      <c r="AP2" s="15" t="s">
        <v>52</v>
      </c>
      <c r="AQ2" s="15" t="s">
        <v>53</v>
      </c>
      <c r="AR2" s="15" t="s">
        <v>50</v>
      </c>
      <c r="AS2" s="15" t="s">
        <v>51</v>
      </c>
      <c r="AT2" s="15" t="s">
        <v>52</v>
      </c>
      <c r="AU2" s="15" t="s">
        <v>53</v>
      </c>
      <c r="AV2" s="16" t="s">
        <v>62</v>
      </c>
    </row>
    <row r="3" spans="1:48" ht="15.6">
      <c r="A3" s="17" t="s">
        <v>63</v>
      </c>
      <c r="B3" s="17">
        <v>60</v>
      </c>
      <c r="C3" s="18">
        <f t="shared" ref="C3:C66" si="0">(1.599 + ((301.48 - 1.599)*(($B3/195.9)^2.2191)))/(1 + (($B3 / 195.9)^2.2191))</f>
        <v>21.732468268793319</v>
      </c>
      <c r="D3" s="18">
        <f t="shared" ref="D3:D66" si="1">(1.554 + ((312.3 - 1.554)*(($B3/214.74)^2.0789)))/( 1 + ($B3 / 214.74)^2.0789)</f>
        <v>21.942586904228435</v>
      </c>
      <c r="E3" s="18">
        <f>AVERAGE(C3:D3)</f>
        <v>21.837527586510877</v>
      </c>
      <c r="F3" s="19">
        <f>C4-C3</f>
        <v>0.69967317241600924</v>
      </c>
      <c r="G3" s="19">
        <f>D4-D3</f>
        <v>0.66425131978552088</v>
      </c>
      <c r="H3" s="19">
        <f>AVERAGE(F3:G3)</f>
        <v>0.68196224610076506</v>
      </c>
      <c r="I3" s="19">
        <f>H3</f>
        <v>0.68196224610076506</v>
      </c>
      <c r="J3" s="19"/>
      <c r="K3" s="19">
        <f xml:space="preserve"> 3.0763 * (1-EXP(-(EXP(-5.0736)*(C3^1.3308))))</f>
        <v>0.96556976107304038</v>
      </c>
      <c r="L3" s="19">
        <f xml:space="preserve"> 3.1408 * (1-EXP(-(EXP(-3.5347)*(D3^0.8793))))</f>
        <v>1.119734867634488</v>
      </c>
      <c r="M3" s="19">
        <f>AVERAGE(K3:L3)</f>
        <v>1.0426523143537643</v>
      </c>
      <c r="N3" s="19">
        <f>M3</f>
        <v>1.0426523143537643</v>
      </c>
      <c r="O3" s="19">
        <f t="shared" ref="O3:O34" si="2">K3/F3</f>
        <v>1.3800297040672231</v>
      </c>
      <c r="P3" s="19">
        <f t="shared" ref="P3:P34" si="3">L3/G3</f>
        <v>1.6857096618129981</v>
      </c>
      <c r="Q3" s="19">
        <f>AVERAGE(O3:P3)</f>
        <v>1.5328696829401105</v>
      </c>
      <c r="R3" s="19">
        <f>Q3</f>
        <v>1.5328696829401105</v>
      </c>
      <c r="S3" s="18">
        <f t="shared" ref="S3:S34" si="4">W3/F3</f>
        <v>4.700425297393668</v>
      </c>
      <c r="T3" s="18">
        <f t="shared" ref="T3:T34" si="5">X3/G3</f>
        <v>5.5310933545847156</v>
      </c>
      <c r="U3" s="18">
        <f>((S3 + T3) / 2)</f>
        <v>5.1157593259891918</v>
      </c>
      <c r="V3" s="19">
        <f>U3</f>
        <v>5.1157593259891918</v>
      </c>
      <c r="W3" s="18">
        <f>(11.06 - 0.00049)*(1-EXP(-EXP(-5.044)*C3^(1.3 -0.0321* -0.00049)))</f>
        <v>3.2887614795318916</v>
      </c>
      <c r="X3" s="18">
        <f>(11.12+0.02849)*(1-EXP(-EXP(-3.674-0.1996*0.02849)*D3^(0.8938+0.0283*0.02849)))</f>
        <v>3.6740360606398212</v>
      </c>
      <c r="Y3" s="20">
        <f t="shared" ref="Y3:Y66" si="6">((W3 + X3) / 2)*1000</f>
        <v>3481.3987700858565</v>
      </c>
      <c r="Z3" s="20">
        <f>Y3</f>
        <v>3481.3987700858565</v>
      </c>
      <c r="AA3" s="21">
        <f>SUM(Y3)/1000</f>
        <v>3.4813987700858564</v>
      </c>
      <c r="AB3" s="20">
        <f t="shared" ref="AB3:AB66" si="7">Y3/(AVERAGE(K3,L3))</f>
        <v>3338.9834004671316</v>
      </c>
      <c r="AC3" s="20">
        <f>AB3</f>
        <v>3338.9834004671316</v>
      </c>
      <c r="AD3" s="18">
        <f t="shared" ref="AD3:AE18" si="8">$AI3*K3/1000</f>
        <v>2.4514219437222784</v>
      </c>
      <c r="AE3" s="18">
        <f t="shared" si="8"/>
        <v>2.842821654459935</v>
      </c>
      <c r="AF3" s="20">
        <f t="shared" ref="AF3:AF66" si="9">((AD3 + AE3) / 2)*1000</f>
        <v>2647.1217990911064</v>
      </c>
      <c r="AG3" s="20">
        <f>AF3</f>
        <v>2647.1217990911064</v>
      </c>
      <c r="AH3" s="22">
        <f>SUM(AF3)/1000</f>
        <v>2.6471217990911065</v>
      </c>
      <c r="AI3" s="20">
        <v>2538.8346265090222</v>
      </c>
      <c r="AJ3" s="20">
        <f>AI3</f>
        <v>2538.8346265090222</v>
      </c>
      <c r="AK3" s="21">
        <f>SUM(AI3)/1000</f>
        <v>2.538834626509022</v>
      </c>
      <c r="AL3" s="23">
        <f>((0.00003*(C3*2.204622)^2)-(0.0182*C3*2.204622)+4.5935)</f>
        <v>3.7903702672200517</v>
      </c>
      <c r="AM3" s="23">
        <f>((0.00004*(D3*2.204622)^2)-(0.0215*D3*2.204622)+4.9502)</f>
        <v>4.0037411887685623</v>
      </c>
      <c r="AN3" s="24">
        <f t="shared" ref="AN3:AN66" si="10">(AL3*((AB3)/1000)/10)</f>
        <v>1.2655983403871918</v>
      </c>
      <c r="AO3" s="24">
        <f t="shared" ref="AO3:AO66" si="11">(AM3*((AB3)/1000)/10)</f>
        <v>1.3368425369064769</v>
      </c>
      <c r="AP3" s="24">
        <f>AVERAGE(AN3:AO3)</f>
        <v>1.3012204386468342</v>
      </c>
      <c r="AQ3" s="24">
        <f>AP3</f>
        <v>1.3012204386468342</v>
      </c>
      <c r="AR3" s="21">
        <f t="shared" ref="AR3:AS18" si="12">AN3*10*K3</f>
        <v>12.220234871420972</v>
      </c>
      <c r="AS3" s="21">
        <f t="shared" si="12"/>
        <v>14.969092011111272</v>
      </c>
      <c r="AT3" s="21">
        <f>AVERAGE(AR3:AS3)</f>
        <v>13.594663441266121</v>
      </c>
      <c r="AU3" s="21">
        <f>AT3</f>
        <v>13.594663441266121</v>
      </c>
      <c r="AV3" s="22">
        <f>SUM(AT3)/1000</f>
        <v>1.3594663441266121E-2</v>
      </c>
    </row>
    <row r="4" spans="1:48" ht="15.6">
      <c r="A4" s="17" t="s">
        <v>63</v>
      </c>
      <c r="B4" s="17">
        <v>61</v>
      </c>
      <c r="C4" s="23">
        <f t="shared" si="0"/>
        <v>22.432141441209328</v>
      </c>
      <c r="D4" s="23">
        <f t="shared" si="1"/>
        <v>22.606838224013956</v>
      </c>
      <c r="E4" s="18">
        <f t="shared" ref="E4:E67" si="13">AVERAGE(C4:D4)</f>
        <v>22.51948983261164</v>
      </c>
      <c r="F4" s="19">
        <f>C5-C4</f>
        <v>0.71017919972256394</v>
      </c>
      <c r="G4" s="19">
        <f>D5-D4</f>
        <v>0.67297409812844577</v>
      </c>
      <c r="H4" s="19">
        <f t="shared" ref="H4:H67" si="14">AVERAGE(F4:G4)</f>
        <v>0.69157664892550486</v>
      </c>
      <c r="I4" s="19">
        <f>(SUM(H$3:H4)/($B4-$B$3+1))</f>
        <v>0.68676944751313496</v>
      </c>
      <c r="J4" s="19"/>
      <c r="K4" s="19">
        <f t="shared" ref="K4:K67" si="15" xml:space="preserve"> 3.0763 * (1-EXP(-(EXP(-5.0736)*(C4^1.3308))))</f>
        <v>0.9995394631337442</v>
      </c>
      <c r="L4" s="19">
        <f t="shared" ref="L4:L67" si="16" xml:space="preserve"> 3.1408 * (1-EXP(-(EXP(-3.5347)*(D4^0.8793))))</f>
        <v>1.1432706840569633</v>
      </c>
      <c r="M4" s="19">
        <f t="shared" ref="M4:M67" si="17">AVERAGE(K4:L4)</f>
        <v>1.0714050735953538</v>
      </c>
      <c r="N4" s="19">
        <f>(SUM(M$3:M4)/($B4-$B$3+1))</f>
        <v>1.057028693974559</v>
      </c>
      <c r="O4" s="19">
        <f t="shared" si="2"/>
        <v>1.4074468296511933</v>
      </c>
      <c r="P4" s="19">
        <f t="shared" si="3"/>
        <v>1.6988331159199463</v>
      </c>
      <c r="Q4" s="19">
        <f t="shared" ref="Q4:Q67" si="18">AVERAGE(O4:P4)</f>
        <v>1.5531399727855697</v>
      </c>
      <c r="R4" s="19">
        <f>(SUM(Q$3:Q4)/($B4-$B$3+1))</f>
        <v>1.5430048278628401</v>
      </c>
      <c r="S4" s="18">
        <f t="shared" si="4"/>
        <v>4.7920911195793092</v>
      </c>
      <c r="T4" s="18">
        <f t="shared" si="5"/>
        <v>5.5788236428080324</v>
      </c>
      <c r="U4" s="18">
        <f>((S4 + T4) / 2)</f>
        <v>5.1854573811936708</v>
      </c>
      <c r="V4" s="19">
        <f>(SUM(U$3:U4)/($B4-$B$3+1))</f>
        <v>5.1506083535914318</v>
      </c>
      <c r="W4" s="18">
        <f t="shared" ref="W4:W67" si="19">(11.06 - 0.00049)*(1-EXP(-EXP(-5.044)*C4^(1.3 -0.0321* -0.00049)))</f>
        <v>3.4032434363004396</v>
      </c>
      <c r="X4" s="18">
        <f t="shared" ref="X4:X67" si="20">(11.12+0.02849)*(1-EXP(-EXP(-3.674-0.1996*0.02849)*D4^(0.8938+0.0283*0.02849)))</f>
        <v>3.7544038096363863</v>
      </c>
      <c r="Y4" s="20">
        <f t="shared" si="6"/>
        <v>3578.8236229684126</v>
      </c>
      <c r="Z4" s="20">
        <f>(SUM(Y$3:Y4)/($B4-$B$3+1))</f>
        <v>3530.1111965271348</v>
      </c>
      <c r="AA4" s="21">
        <f>SUM(Y$3:Y4)/1000</f>
        <v>7.0602223930542696</v>
      </c>
      <c r="AB4" s="20">
        <f t="shared" si="7"/>
        <v>3340.3086387847889</v>
      </c>
      <c r="AC4" s="20">
        <f>(SUM(AB$3:AB4)/($B4-$B$3+1))</f>
        <v>3339.6460196259604</v>
      </c>
      <c r="AD4" s="18">
        <f t="shared" si="8"/>
        <v>2.5386725957757967</v>
      </c>
      <c r="AE4" s="18">
        <f t="shared" si="8"/>
        <v>2.9037272286075866</v>
      </c>
      <c r="AF4" s="20">
        <f t="shared" si="9"/>
        <v>2721.1999121916915</v>
      </c>
      <c r="AG4" s="20">
        <f>(SUM(AF$3:AF4)/($B4-$B$3+1))</f>
        <v>2684.1608556413989</v>
      </c>
      <c r="AH4" s="22">
        <f>SUM(AF$3:AF4)/1000</f>
        <v>5.3683217112827979</v>
      </c>
      <c r="AI4" s="20">
        <v>2539.842286783336</v>
      </c>
      <c r="AJ4" s="20">
        <f>(SUM(AI$3:AI4)/($B4-$B$3+1))</f>
        <v>2539.3384566461791</v>
      </c>
      <c r="AK4" s="21">
        <f>SUM(AI$3:AI4)/1000</f>
        <v>5.0786769132923579</v>
      </c>
      <c r="AL4" s="23">
        <f t="shared" ref="AL4:AL67" si="21">((0.00003*(C4*2.204622)^2)-(0.0182*C4*2.204622)+4.5935)</f>
        <v>3.7668021641936842</v>
      </c>
      <c r="AM4" s="23">
        <f t="shared" ref="AM4:AM67" si="22">((0.00004*(D4*2.204622)^2)-(0.0215*D4*2.204622)+4.9502)</f>
        <v>3.9780092042533317</v>
      </c>
      <c r="AN4" s="24">
        <f t="shared" si="10"/>
        <v>1.2582281809649403</v>
      </c>
      <c r="AO4" s="24">
        <f t="shared" si="11"/>
        <v>1.3287778510132808</v>
      </c>
      <c r="AP4" s="24">
        <f>AVERAGE(AN4:AO4)</f>
        <v>1.2935030159891105</v>
      </c>
      <c r="AQ4" s="24">
        <f>(SUM(AP$3:AP4)/($B4-$B$3+1))</f>
        <v>1.2973617273179725</v>
      </c>
      <c r="AR4" s="21">
        <f t="shared" si="12"/>
        <v>12.576487205014438</v>
      </c>
      <c r="AS4" s="21">
        <f t="shared" si="12"/>
        <v>15.191527626876953</v>
      </c>
      <c r="AT4" s="21">
        <f>AVERAGE(AR4:AS4)</f>
        <v>13.884007415945696</v>
      </c>
      <c r="AU4" s="21">
        <f>(SUM(AT$3:AT4)/($B4-$B$3+1))</f>
        <v>13.739335428605909</v>
      </c>
      <c r="AV4" s="22">
        <f>SUM(AT$3:AT4)/1000</f>
        <v>2.7478670857211816E-2</v>
      </c>
    </row>
    <row r="5" spans="1:48" ht="15.6">
      <c r="A5" s="17" t="s">
        <v>63</v>
      </c>
      <c r="B5" s="17">
        <v>62</v>
      </c>
      <c r="C5" s="18">
        <f t="shared" si="0"/>
        <v>23.142320640931892</v>
      </c>
      <c r="D5" s="18">
        <f t="shared" si="1"/>
        <v>23.279812322142401</v>
      </c>
      <c r="E5" s="18">
        <f t="shared" si="13"/>
        <v>23.211066481537145</v>
      </c>
      <c r="F5" s="19">
        <f t="shared" ref="F5:G68" si="23">C6-C5</f>
        <v>0.72054689957994</v>
      </c>
      <c r="G5" s="19">
        <f t="shared" si="23"/>
        <v>0.68156847050296321</v>
      </c>
      <c r="H5" s="19">
        <f t="shared" si="14"/>
        <v>0.70105768504145161</v>
      </c>
      <c r="I5" s="19">
        <f>(SUM(H$3:H5)/($B5-$B$3+1))</f>
        <v>0.69153219335590721</v>
      </c>
      <c r="J5" s="19"/>
      <c r="K5" s="19">
        <f t="shared" si="15"/>
        <v>1.0338117228976473</v>
      </c>
      <c r="L5" s="19">
        <f t="shared" si="16"/>
        <v>1.1667525984275444</v>
      </c>
      <c r="M5" s="19">
        <f t="shared" si="17"/>
        <v>1.1002821606625959</v>
      </c>
      <c r="N5" s="19">
        <f>(SUM(M$3:M5)/($B5-$B$3+1))</f>
        <v>1.0714465162039046</v>
      </c>
      <c r="O5" s="19">
        <f t="shared" si="2"/>
        <v>1.4347597963440444</v>
      </c>
      <c r="P5" s="19">
        <f t="shared" si="3"/>
        <v>1.7118641030541506</v>
      </c>
      <c r="Q5" s="19">
        <f t="shared" si="18"/>
        <v>1.5733119496990975</v>
      </c>
      <c r="R5" s="19">
        <f>(SUM(Q$3:Q5)/($B5-$B$3+1))</f>
        <v>1.553107201808259</v>
      </c>
      <c r="S5" s="19">
        <f t="shared" si="4"/>
        <v>4.8835071200783071</v>
      </c>
      <c r="T5" s="19">
        <f t="shared" si="5"/>
        <v>5.6262820153012099</v>
      </c>
      <c r="U5" s="19">
        <f t="shared" ref="U5:U68" si="24">((S5 + T5) / 2)</f>
        <v>5.2548945676897585</v>
      </c>
      <c r="V5" s="19">
        <f>(SUM(U$3:U5)/($B5-$B$3+1))</f>
        <v>5.185370424957541</v>
      </c>
      <c r="W5" s="18">
        <f t="shared" si="19"/>
        <v>3.5187959144489862</v>
      </c>
      <c r="X5" s="18">
        <f t="shared" si="20"/>
        <v>3.8346964277871751</v>
      </c>
      <c r="Y5" s="20">
        <f t="shared" si="6"/>
        <v>3676.7461711180808</v>
      </c>
      <c r="Z5" s="20">
        <f>(SUM(Y$3:Y5)/($B5-$B$3+1))</f>
        <v>3578.9895213907835</v>
      </c>
      <c r="AA5" s="21">
        <f>SUM(Y$3:Y5)/1000</f>
        <v>10.736968564172351</v>
      </c>
      <c r="AB5" s="20">
        <f t="shared" si="7"/>
        <v>3341.6393563119523</v>
      </c>
      <c r="AC5" s="20">
        <f>(SUM(AB$3:AB5)/($B5-$B$3+1))</f>
        <v>3340.310465187958</v>
      </c>
      <c r="AD5" s="18">
        <f t="shared" si="8"/>
        <v>2.6267647684380853</v>
      </c>
      <c r="AE5" s="18">
        <f t="shared" si="8"/>
        <v>2.9645481388456769</v>
      </c>
      <c r="AF5" s="20">
        <f t="shared" si="9"/>
        <v>2795.6564536418809</v>
      </c>
      <c r="AG5" s="20">
        <f>(SUM(AF$3:AF5)/($B5-$B$3+1))</f>
        <v>2721.3260549748929</v>
      </c>
      <c r="AH5" s="22">
        <f>SUM(AF$3:AF5)/1000</f>
        <v>8.1639781649246785</v>
      </c>
      <c r="AI5" s="20">
        <v>2540.8541132379369</v>
      </c>
      <c r="AJ5" s="20">
        <f>(SUM(AI$3:AI5)/($B5-$B$3+1))</f>
        <v>2539.8436755100984</v>
      </c>
      <c r="AK5" s="21">
        <f>SUM(AI$3:AI5)/1000</f>
        <v>7.6195310265302947</v>
      </c>
      <c r="AL5" s="23">
        <f t="shared" si="21"/>
        <v>3.7430261641521669</v>
      </c>
      <c r="AM5" s="23">
        <f t="shared" si="22"/>
        <v>3.9521142708679404</v>
      </c>
      <c r="AN5" s="24">
        <f t="shared" si="10"/>
        <v>1.2507843541836243</v>
      </c>
      <c r="AO5" s="24">
        <f t="shared" si="11"/>
        <v>1.3206540588174425</v>
      </c>
      <c r="AP5" s="24">
        <f t="shared" ref="AP5:AP68" si="25">AVERAGE(AN5:AO5)</f>
        <v>1.2857192065005334</v>
      </c>
      <c r="AQ5" s="24">
        <f>(SUM(AP$3:AP5)/($B5-$B$3+1))</f>
        <v>1.2934808870454928</v>
      </c>
      <c r="AR5" s="21">
        <f t="shared" si="12"/>
        <v>12.930755281719938</v>
      </c>
      <c r="AS5" s="21">
        <f t="shared" si="12"/>
        <v>15.408765547491342</v>
      </c>
      <c r="AT5" s="21">
        <f t="shared" ref="AT5:AT68" si="26">AVERAGE(AR5:AS5)</f>
        <v>14.169760414605641</v>
      </c>
      <c r="AU5" s="21">
        <f>(SUM(AT$3:AT5)/($B5-$B$3+1))</f>
        <v>13.882810423939153</v>
      </c>
      <c r="AV5" s="22">
        <f>SUM(AT$3:AT5)/1000</f>
        <v>4.1648431271817457E-2</v>
      </c>
    </row>
    <row r="6" spans="1:48" ht="15.6">
      <c r="A6" s="17" t="s">
        <v>63</v>
      </c>
      <c r="B6" s="17">
        <v>63</v>
      </c>
      <c r="C6" s="18">
        <f t="shared" si="0"/>
        <v>23.862867540511832</v>
      </c>
      <c r="D6" s="18">
        <f t="shared" si="1"/>
        <v>23.961380792645365</v>
      </c>
      <c r="E6" s="18">
        <f t="shared" si="13"/>
        <v>23.9121241665786</v>
      </c>
      <c r="F6" s="19">
        <f t="shared" si="23"/>
        <v>0.73077341531357121</v>
      </c>
      <c r="G6" s="19">
        <f t="shared" si="23"/>
        <v>0.69003317469605818</v>
      </c>
      <c r="H6" s="19">
        <f t="shared" si="14"/>
        <v>0.71040329500481469</v>
      </c>
      <c r="I6" s="19">
        <f>(SUM(H$3:H6)/($B6-$B$3+1))</f>
        <v>0.69624996876813405</v>
      </c>
      <c r="J6" s="19"/>
      <c r="K6" s="19">
        <f t="shared" si="15"/>
        <v>1.0683547890286109</v>
      </c>
      <c r="L6" s="19">
        <f t="shared" si="16"/>
        <v>1.1901711686222827</v>
      </c>
      <c r="M6" s="19">
        <f t="shared" si="17"/>
        <v>1.1292629788254467</v>
      </c>
      <c r="N6" s="19">
        <f>(SUM(M$3:M6)/($B6-$B$3+1))</f>
        <v>1.0859006318592903</v>
      </c>
      <c r="O6" s="19">
        <f t="shared" si="2"/>
        <v>1.4619508135366217</v>
      </c>
      <c r="P6" s="19">
        <f t="shared" si="3"/>
        <v>1.7248028243664115</v>
      </c>
      <c r="Q6" s="19">
        <f t="shared" si="18"/>
        <v>1.5933768189515165</v>
      </c>
      <c r="R6" s="19">
        <f>(SUM(Q$3:Q6)/($B6-$B$3+1))</f>
        <v>1.5631746060940734</v>
      </c>
      <c r="S6" s="19">
        <f t="shared" si="4"/>
        <v>4.9746205507980061</v>
      </c>
      <c r="T6" s="19">
        <f t="shared" si="5"/>
        <v>5.6734676950602463</v>
      </c>
      <c r="U6" s="19">
        <f t="shared" si="24"/>
        <v>5.3240441229291262</v>
      </c>
      <c r="V6" s="19">
        <f>(SUM(U$3:U6)/($B6-$B$3+1))</f>
        <v>5.2200388494504368</v>
      </c>
      <c r="W6" s="18">
        <f t="shared" si="19"/>
        <v>3.6353204497957377</v>
      </c>
      <c r="X6" s="18">
        <f t="shared" si="20"/>
        <v>3.9148809251579495</v>
      </c>
      <c r="Y6" s="20">
        <f t="shared" si="6"/>
        <v>3775.1006874768436</v>
      </c>
      <c r="Z6" s="20">
        <f>(SUM(Y$3:Y6)/($B6-$B$3+1))</f>
        <v>3628.0173129122986</v>
      </c>
      <c r="AA6" s="21">
        <f>SUM(Y$3:Y6)/1000</f>
        <v>14.512069251649194</v>
      </c>
      <c r="AB6" s="20">
        <f t="shared" si="7"/>
        <v>3342.9774625245832</v>
      </c>
      <c r="AC6" s="20">
        <f>(SUM(AB$3:AB6)/($B6-$B$3+1))</f>
        <v>3340.9772145221141</v>
      </c>
      <c r="AD6" s="18">
        <f t="shared" si="8"/>
        <v>2.715620651833794</v>
      </c>
      <c r="AE6" s="18">
        <f t="shared" si="8"/>
        <v>3.0252622423928459</v>
      </c>
      <c r="AF6" s="20">
        <f t="shared" si="9"/>
        <v>2870.44144711332</v>
      </c>
      <c r="AG6" s="20">
        <f>(SUM(AF$3:AF6)/($B6-$B$3+1))</f>
        <v>2758.6049030094996</v>
      </c>
      <c r="AH6" s="22">
        <f>SUM(AF$3:AF6)/1000</f>
        <v>11.034419612037999</v>
      </c>
      <c r="AI6" s="20">
        <v>2541.8715577649446</v>
      </c>
      <c r="AJ6" s="20">
        <f>(SUM(AI$3:AI6)/($B6-$B$3+1))</f>
        <v>2540.3506460738099</v>
      </c>
      <c r="AK6" s="21">
        <f>SUM(AI$3:AI6)/1000</f>
        <v>10.16140258429524</v>
      </c>
      <c r="AL6" s="23">
        <f t="shared" si="21"/>
        <v>3.7190533822551837</v>
      </c>
      <c r="AM6" s="23">
        <f t="shared" si="22"/>
        <v>3.9260681261400912</v>
      </c>
      <c r="AN6" s="24">
        <f t="shared" si="10"/>
        <v>1.2432711638804903</v>
      </c>
      <c r="AO6" s="24">
        <f t="shared" si="11"/>
        <v>1.3124757262022446</v>
      </c>
      <c r="AP6" s="24">
        <f t="shared" si="25"/>
        <v>1.2778734450413674</v>
      </c>
      <c r="AQ6" s="24">
        <f>(SUM(AP$3:AP6)/($B6-$B$3+1))</f>
        <v>1.2895790265444615</v>
      </c>
      <c r="AR6" s="21">
        <f t="shared" si="12"/>
        <v>13.282547019928968</v>
      </c>
      <c r="AS6" s="21">
        <f t="shared" si="12"/>
        <v>15.620707688425044</v>
      </c>
      <c r="AT6" s="21">
        <f t="shared" si="26"/>
        <v>14.451627354177006</v>
      </c>
      <c r="AU6" s="21">
        <f>(SUM(AT$3:AT6)/($B6-$B$3+1))</f>
        <v>14.025014656498616</v>
      </c>
      <c r="AV6" s="22">
        <f>SUM(AT$3:AT6)/1000</f>
        <v>5.6100058625994466E-2</v>
      </c>
    </row>
    <row r="7" spans="1:48" ht="15.6">
      <c r="A7" s="17" t="s">
        <v>63</v>
      </c>
      <c r="B7" s="17">
        <v>64</v>
      </c>
      <c r="C7" s="18">
        <f t="shared" si="0"/>
        <v>24.593640955825403</v>
      </c>
      <c r="D7" s="18">
        <f t="shared" si="1"/>
        <v>24.651413967341423</v>
      </c>
      <c r="E7" s="18">
        <f t="shared" si="13"/>
        <v>24.622527461583413</v>
      </c>
      <c r="F7" s="19">
        <f t="shared" si="23"/>
        <v>0.74085600573246779</v>
      </c>
      <c r="G7" s="19">
        <f t="shared" si="23"/>
        <v>0.69836702108797155</v>
      </c>
      <c r="H7" s="19">
        <f t="shared" si="14"/>
        <v>0.71961151341021967</v>
      </c>
      <c r="I7" s="19">
        <f>(SUM(H$3:H7)/($B7-$B$3+1))</f>
        <v>0.70092227769655113</v>
      </c>
      <c r="J7" s="19"/>
      <c r="K7" s="19">
        <f t="shared" si="15"/>
        <v>1.1031365961714539</v>
      </c>
      <c r="L7" s="19">
        <f t="shared" si="16"/>
        <v>1.2135172767743596</v>
      </c>
      <c r="M7" s="19">
        <f t="shared" si="17"/>
        <v>1.1583269364729067</v>
      </c>
      <c r="N7" s="19">
        <f>(SUM(M$3:M7)/($B7-$B$3+1))</f>
        <v>1.1003858927820136</v>
      </c>
      <c r="O7" s="19">
        <f t="shared" si="2"/>
        <v>1.4890027044875034</v>
      </c>
      <c r="P7" s="19">
        <f t="shared" si="3"/>
        <v>1.7376497459514142</v>
      </c>
      <c r="Q7" s="19">
        <f t="shared" si="18"/>
        <v>1.6133262252194589</v>
      </c>
      <c r="R7" s="19">
        <f>(SUM(Q$3:Q7)/($B7-$B$3+1))</f>
        <v>1.5732049299191506</v>
      </c>
      <c r="S7" s="19">
        <f t="shared" si="4"/>
        <v>5.0653805063128221</v>
      </c>
      <c r="T7" s="19">
        <f t="shared" si="5"/>
        <v>5.7203807881186348</v>
      </c>
      <c r="U7" s="19">
        <f t="shared" si="24"/>
        <v>5.392880647215728</v>
      </c>
      <c r="V7" s="19">
        <f>(SUM(U$3:U7)/($B7-$B$3+1))</f>
        <v>5.2546072090034954</v>
      </c>
      <c r="W7" s="18">
        <f t="shared" si="19"/>
        <v>3.7527175694220229</v>
      </c>
      <c r="X7" s="18">
        <f t="shared" si="20"/>
        <v>3.9949252904872741</v>
      </c>
      <c r="Y7" s="20">
        <f t="shared" si="6"/>
        <v>3873.8214299546485</v>
      </c>
      <c r="Z7" s="20">
        <f>(SUM(Y$3:Y7)/($B7-$B$3+1))</f>
        <v>3677.1781363207688</v>
      </c>
      <c r="AA7" s="21">
        <f>SUM(Y$3:Y7)/1000</f>
        <v>18.385890681603843</v>
      </c>
      <c r="AB7" s="20">
        <f t="shared" si="7"/>
        <v>3344.3247393955921</v>
      </c>
      <c r="AC7" s="20">
        <f>(SUM(AB$3:AB7)/($B7-$B$3+1))</f>
        <v>3341.64671949681</v>
      </c>
      <c r="AD7" s="18">
        <f t="shared" si="8"/>
        <v>2.8051616106194235</v>
      </c>
      <c r="AE7" s="18">
        <f t="shared" si="8"/>
        <v>3.0858481990763167</v>
      </c>
      <c r="AF7" s="20">
        <f t="shared" si="9"/>
        <v>2945.50490484787</v>
      </c>
      <c r="AG7" s="20">
        <f>(SUM(AF$3:AF7)/($B7-$B$3+1))</f>
        <v>2795.9849033771739</v>
      </c>
      <c r="AH7" s="22">
        <f>SUM(AF$3:AF7)/1000</f>
        <v>13.97992451688587</v>
      </c>
      <c r="AI7" s="20">
        <v>2542.8959753080603</v>
      </c>
      <c r="AJ7" s="20">
        <f>(SUM(AI$3:AI7)/($B7-$B$3+1))</f>
        <v>2540.8597119206597</v>
      </c>
      <c r="AK7" s="21">
        <f>SUM(AI$3:AI7)/1000</f>
        <v>12.7042985596033</v>
      </c>
      <c r="AL7" s="23">
        <f t="shared" si="21"/>
        <v>3.6948950064110111</v>
      </c>
      <c r="AM7" s="23">
        <f t="shared" si="22"/>
        <v>3.8998825062349103</v>
      </c>
      <c r="AN7" s="24">
        <f t="shared" si="10"/>
        <v>1.2356928779409579</v>
      </c>
      <c r="AO7" s="24">
        <f t="shared" si="11"/>
        <v>1.3042473546337496</v>
      </c>
      <c r="AP7" s="24">
        <f t="shared" si="25"/>
        <v>1.2699701162873538</v>
      </c>
      <c r="AQ7" s="24">
        <f>(SUM(AP$3:AP7)/($B7-$B$3+1))</f>
        <v>1.2856572444930401</v>
      </c>
      <c r="AR7" s="21">
        <f t="shared" si="12"/>
        <v>13.631380352850961</v>
      </c>
      <c r="AS7" s="21">
        <f t="shared" si="12"/>
        <v>15.827266980353103</v>
      </c>
      <c r="AT7" s="21">
        <f t="shared" si="26"/>
        <v>14.729323666602031</v>
      </c>
      <c r="AU7" s="21">
        <f>(SUM(AT$3:AT7)/($B7-$B$3+1))</f>
        <v>14.165876458519298</v>
      </c>
      <c r="AV7" s="22">
        <f>SUM(AT$3:AT7)/1000</f>
        <v>7.0829382292596485E-2</v>
      </c>
    </row>
    <row r="8" spans="1:48" ht="15.6">
      <c r="A8" s="17" t="s">
        <v>63</v>
      </c>
      <c r="B8" s="17">
        <v>65</v>
      </c>
      <c r="C8" s="18">
        <f t="shared" si="0"/>
        <v>25.334496961557871</v>
      </c>
      <c r="D8" s="18">
        <f t="shared" si="1"/>
        <v>25.349780988429394</v>
      </c>
      <c r="E8" s="18">
        <f t="shared" si="13"/>
        <v>25.342138974993631</v>
      </c>
      <c r="F8" s="19">
        <f t="shared" si="23"/>
        <v>0.7507920452133412</v>
      </c>
      <c r="G8" s="19">
        <f t="shared" si="23"/>
        <v>0.70656889217512742</v>
      </c>
      <c r="H8" s="19">
        <f t="shared" si="14"/>
        <v>0.72868046869423431</v>
      </c>
      <c r="I8" s="19">
        <f>(SUM(H$3:H8)/($B8-$B$3+1))</f>
        <v>0.7055486428628317</v>
      </c>
      <c r="J8" s="19"/>
      <c r="K8" s="19">
        <f t="shared" si="15"/>
        <v>1.1381248557709052</v>
      </c>
      <c r="L8" s="19">
        <f t="shared" si="16"/>
        <v>1.236782128139601</v>
      </c>
      <c r="M8" s="19">
        <f t="shared" si="17"/>
        <v>1.1874534919552531</v>
      </c>
      <c r="N8" s="19">
        <f>(SUM(M$3:M8)/($B8-$B$3+1))</f>
        <v>1.114897159310887</v>
      </c>
      <c r="O8" s="19">
        <f t="shared" si="2"/>
        <v>1.5158989270424428</v>
      </c>
      <c r="P8" s="19">
        <f t="shared" si="3"/>
        <v>1.7504055752189229</v>
      </c>
      <c r="Q8" s="19">
        <f t="shared" si="18"/>
        <v>1.6331522511306829</v>
      </c>
      <c r="R8" s="19">
        <f>(SUM(Q$3:Q8)/($B8-$B$3+1))</f>
        <v>1.5831961501210727</v>
      </c>
      <c r="S8" s="19">
        <f t="shared" si="4"/>
        <v>5.1557379672095607</v>
      </c>
      <c r="T8" s="19">
        <f t="shared" si="5"/>
        <v>5.767022209314538</v>
      </c>
      <c r="U8" s="19">
        <f t="shared" si="24"/>
        <v>5.4613800882620493</v>
      </c>
      <c r="V8" s="19">
        <f>(SUM(U$3:U8)/($B8-$B$3+1))</f>
        <v>5.2890693555465882</v>
      </c>
      <c r="W8" s="18">
        <f t="shared" si="19"/>
        <v>3.8708870529853403</v>
      </c>
      <c r="X8" s="18">
        <f t="shared" si="20"/>
        <v>4.074798493584729</v>
      </c>
      <c r="Y8" s="20">
        <f t="shared" si="6"/>
        <v>3972.8427732850346</v>
      </c>
      <c r="Z8" s="20">
        <f>(SUM(Y$3:Y8)/($B8-$B$3+1))</f>
        <v>3726.4555758148131</v>
      </c>
      <c r="AA8" s="21">
        <f>SUM(Y$3:Y8)/1000</f>
        <v>22.358733454888878</v>
      </c>
      <c r="AB8" s="20">
        <f t="shared" si="7"/>
        <v>3345.6828416440781</v>
      </c>
      <c r="AC8" s="20">
        <f>(SUM(AB$3:AB8)/($B8-$B$3+1))</f>
        <v>3342.3194065213543</v>
      </c>
      <c r="AD8" s="18">
        <f t="shared" si="8"/>
        <v>2.8953083983407515</v>
      </c>
      <c r="AE8" s="18">
        <f t="shared" si="8"/>
        <v>3.1462854574903791</v>
      </c>
      <c r="AF8" s="20">
        <f t="shared" si="9"/>
        <v>3020.7969279155654</v>
      </c>
      <c r="AG8" s="20">
        <f>(SUM(AF$3:AF8)/($B8-$B$3+1))</f>
        <v>2833.4535741335726</v>
      </c>
      <c r="AH8" s="22">
        <f>SUM(AF$3:AF8)/1000</f>
        <v>17.000721444801435</v>
      </c>
      <c r="AI8" s="20">
        <v>2543.9286240520805</v>
      </c>
      <c r="AJ8" s="20">
        <f>(SUM(AI$3:AI8)/($B8-$B$3+1))</f>
        <v>2541.371197275897</v>
      </c>
      <c r="AK8" s="21">
        <f>SUM(AI$3:AI8)/1000</f>
        <v>15.248227183655381</v>
      </c>
      <c r="AL8" s="23">
        <f t="shared" si="21"/>
        <v>3.6705622862557514</v>
      </c>
      <c r="AM8" s="23">
        <f t="shared" si="22"/>
        <v>3.8735691372569274</v>
      </c>
      <c r="AN8" s="24">
        <f t="shared" si="10"/>
        <v>1.2280537260311726</v>
      </c>
      <c r="AO8" s="24">
        <f t="shared" si="11"/>
        <v>1.2959733798442556</v>
      </c>
      <c r="AP8" s="24">
        <f t="shared" si="25"/>
        <v>1.2620135529377141</v>
      </c>
      <c r="AQ8" s="24">
        <f>(SUM(AP$3:AP8)/($B8-$B$3+1))</f>
        <v>1.2817166292338189</v>
      </c>
      <c r="AR8" s="21">
        <f t="shared" si="12"/>
        <v>13.976784698181509</v>
      </c>
      <c r="AS8" s="21">
        <f t="shared" si="12"/>
        <v>16.028367147360498</v>
      </c>
      <c r="AT8" s="21">
        <f t="shared" si="26"/>
        <v>15.002575922771005</v>
      </c>
      <c r="AU8" s="21">
        <f>(SUM(AT$3:AT8)/($B8-$B$3+1))</f>
        <v>14.305326369227915</v>
      </c>
      <c r="AV8" s="22">
        <f>SUM(AT$3:AT8)/1000</f>
        <v>8.5831958215367488E-2</v>
      </c>
    </row>
    <row r="9" spans="1:48" ht="15.6">
      <c r="A9" s="17" t="s">
        <v>63</v>
      </c>
      <c r="B9" s="17">
        <v>66</v>
      </c>
      <c r="C9" s="18">
        <f t="shared" si="0"/>
        <v>26.085289006771212</v>
      </c>
      <c r="D9" s="18">
        <f t="shared" si="1"/>
        <v>26.056349880604522</v>
      </c>
      <c r="E9" s="18">
        <f t="shared" si="13"/>
        <v>26.070819443687867</v>
      </c>
      <c r="F9" s="19">
        <f t="shared" si="23"/>
        <v>0.7605790237099761</v>
      </c>
      <c r="G9" s="19">
        <f t="shared" si="23"/>
        <v>0.7146377420572918</v>
      </c>
      <c r="H9" s="19">
        <f t="shared" si="14"/>
        <v>0.73760838288363395</v>
      </c>
      <c r="I9" s="19">
        <f>(SUM(H$3:H9)/($B9-$B$3+1))</f>
        <v>0.71012860572294634</v>
      </c>
      <c r="J9" s="19"/>
      <c r="K9" s="19">
        <f t="shared" si="15"/>
        <v>1.1732871464951908</v>
      </c>
      <c r="L9" s="19">
        <f t="shared" si="16"/>
        <v>1.2599572495826379</v>
      </c>
      <c r="M9" s="19">
        <f t="shared" si="17"/>
        <v>1.2166221980389142</v>
      </c>
      <c r="N9" s="19">
        <f>(SUM(M$3:M9)/($B9-$B$3+1))</f>
        <v>1.129429307700605</v>
      </c>
      <c r="O9" s="19">
        <f t="shared" si="2"/>
        <v>1.5426235932357091</v>
      </c>
      <c r="P9" s="19">
        <f t="shared" si="3"/>
        <v>1.7630712393603589</v>
      </c>
      <c r="Q9" s="19">
        <f t="shared" si="18"/>
        <v>1.652847416298034</v>
      </c>
      <c r="R9" s="19">
        <f>(SUM(Q$3:Q9)/($B9-$B$3+1))</f>
        <v>1.5931463310034957</v>
      </c>
      <c r="S9" s="19">
        <f t="shared" si="4"/>
        <v>5.2456458413185789</v>
      </c>
      <c r="T9" s="19">
        <f t="shared" si="5"/>
        <v>5.8133936145557978</v>
      </c>
      <c r="U9" s="19">
        <f t="shared" si="24"/>
        <v>5.5295197279371884</v>
      </c>
      <c r="V9" s="19">
        <f>(SUM(U$3:U9)/($B9-$B$3+1))</f>
        <v>5.3234194087452451</v>
      </c>
      <c r="W9" s="18">
        <f t="shared" si="19"/>
        <v>3.9897281927183812</v>
      </c>
      <c r="X9" s="18">
        <f t="shared" si="20"/>
        <v>4.1544704863964332</v>
      </c>
      <c r="Y9" s="20">
        <f t="shared" si="6"/>
        <v>4072.0993395574078</v>
      </c>
      <c r="Z9" s="20">
        <f>(SUM(Y$3:Y9)/($B9-$B$3+1))</f>
        <v>3775.8332563494696</v>
      </c>
      <c r="AA9" s="21">
        <f>SUM(Y$3:Y9)/1000</f>
        <v>26.430832794446289</v>
      </c>
      <c r="AB9" s="20">
        <f t="shared" si="7"/>
        <v>3347.0532973352501</v>
      </c>
      <c r="AC9" s="20">
        <f>(SUM(AB$3:AB9)/($B9-$B$3+1))</f>
        <v>3342.9956766376249</v>
      </c>
      <c r="AD9" s="18">
        <f t="shared" si="8"/>
        <v>2.9859813704831963</v>
      </c>
      <c r="AE9" s="18">
        <f t="shared" si="8"/>
        <v>3.2065542404494627</v>
      </c>
      <c r="AF9" s="20">
        <f t="shared" si="9"/>
        <v>3096.2678054663293</v>
      </c>
      <c r="AG9" s="20">
        <f>(SUM(AF$3:AF9)/($B9-$B$3+1))</f>
        <v>2870.9984643239663</v>
      </c>
      <c r="AH9" s="22">
        <f>SUM(AF$3:AF9)/1000</f>
        <v>20.096989250267765</v>
      </c>
      <c r="AI9" s="20">
        <v>2544.9706658790501</v>
      </c>
      <c r="AJ9" s="20">
        <f>(SUM(AI$3:AI9)/($B9-$B$3+1))</f>
        <v>2541.8854070763473</v>
      </c>
      <c r="AK9" s="21">
        <f>SUM(AI$3:AI9)/1000</f>
        <v>17.79319784953443</v>
      </c>
      <c r="AL9" s="23">
        <f t="shared" si="21"/>
        <v>3.6460665222130757</v>
      </c>
      <c r="AM9" s="23">
        <f t="shared" si="22"/>
        <v>3.8471397266931948</v>
      </c>
      <c r="AN9" s="24">
        <f t="shared" si="10"/>
        <v>1.2203578975476943</v>
      </c>
      <c r="AO9" s="24">
        <f t="shared" si="11"/>
        <v>1.2876581707537891</v>
      </c>
      <c r="AP9" s="24">
        <f t="shared" si="25"/>
        <v>1.2540080341507416</v>
      </c>
      <c r="AQ9" s="24">
        <f>(SUM(AP$3:AP9)/($B9-$B$3+1))</f>
        <v>1.2777582585076652</v>
      </c>
      <c r="AR9" s="21">
        <f t="shared" si="12"/>
        <v>14.318302353166048</v>
      </c>
      <c r="AS9" s="21">
        <f t="shared" si="12"/>
        <v>16.223942472255548</v>
      </c>
      <c r="AT9" s="21">
        <f t="shared" si="26"/>
        <v>15.271122412710799</v>
      </c>
      <c r="AU9" s="21">
        <f>(SUM(AT$3:AT9)/($B9-$B$3+1))</f>
        <v>14.443297232582612</v>
      </c>
      <c r="AV9" s="22">
        <f>SUM(AT$3:AT9)/1000</f>
        <v>0.10110308062807828</v>
      </c>
    </row>
    <row r="10" spans="1:48" ht="15.6">
      <c r="A10" s="17" t="s">
        <v>63</v>
      </c>
      <c r="B10" s="17">
        <v>67</v>
      </c>
      <c r="C10" s="18">
        <f t="shared" si="0"/>
        <v>26.845868030481189</v>
      </c>
      <c r="D10" s="18">
        <f t="shared" si="1"/>
        <v>26.770987622661814</v>
      </c>
      <c r="E10" s="18">
        <f t="shared" si="13"/>
        <v>26.808427826571503</v>
      </c>
      <c r="F10" s="19">
        <f t="shared" si="23"/>
        <v>0.77021454668588163</v>
      </c>
      <c r="G10" s="19">
        <f t="shared" si="23"/>
        <v>0.72257259588904077</v>
      </c>
      <c r="H10" s="19">
        <f t="shared" si="14"/>
        <v>0.7463935712874612</v>
      </c>
      <c r="I10" s="19">
        <f>(SUM(H$3:H10)/($B10-$B$3+1))</f>
        <v>0.71466172641851067</v>
      </c>
      <c r="J10" s="19"/>
      <c r="K10" s="19">
        <f t="shared" si="15"/>
        <v>1.2085910038568282</v>
      </c>
      <c r="L10" s="19">
        <f t="shared" si="16"/>
        <v>1.2830344876964301</v>
      </c>
      <c r="M10" s="19">
        <f t="shared" si="17"/>
        <v>1.2458127457766293</v>
      </c>
      <c r="N10" s="19">
        <f>(SUM(M$3:M10)/($B10-$B$3+1))</f>
        <v>1.143977237460108</v>
      </c>
      <c r="O10" s="19">
        <f t="shared" si="2"/>
        <v>1.5691614876104523</v>
      </c>
      <c r="P10" s="19">
        <f t="shared" si="3"/>
        <v>1.7756478656899612</v>
      </c>
      <c r="Q10" s="19">
        <f t="shared" si="18"/>
        <v>1.6724046766502068</v>
      </c>
      <c r="R10" s="19">
        <f>(SUM(Q$3:Q10)/($B10-$B$3+1))</f>
        <v>1.6030536242093345</v>
      </c>
      <c r="S10" s="19">
        <f t="shared" si="4"/>
        <v>5.3350590023594204</v>
      </c>
      <c r="T10" s="19">
        <f t="shared" si="5"/>
        <v>5.8594973388965519</v>
      </c>
      <c r="U10" s="19">
        <f t="shared" si="24"/>
        <v>5.5972781706279857</v>
      </c>
      <c r="V10" s="19">
        <f>(SUM(U$3:U10)/($B10-$B$3+1))</f>
        <v>5.3576517539805879</v>
      </c>
      <c r="W10" s="18">
        <f t="shared" si="19"/>
        <v>4.1091400510446929</v>
      </c>
      <c r="X10" s="18">
        <f t="shared" si="20"/>
        <v>4.2339122027714078</v>
      </c>
      <c r="Y10" s="20">
        <f t="shared" si="6"/>
        <v>4171.5261269080502</v>
      </c>
      <c r="Z10" s="20">
        <f>(SUM(Y$3:Y10)/($B10-$B$3+1))</f>
        <v>3825.2948651692923</v>
      </c>
      <c r="AA10" s="21">
        <f>SUM(Y$3:Y10)/1000</f>
        <v>30.602358921354337</v>
      </c>
      <c r="AB10" s="20">
        <f t="shared" si="7"/>
        <v>3348.4375088067954</v>
      </c>
      <c r="AC10" s="20">
        <f>(SUM(AB$3:AB10)/($B10-$B$3+1))</f>
        <v>3343.6759056587716</v>
      </c>
      <c r="AD10" s="18">
        <f t="shared" si="8"/>
        <v>3.0771006953350639</v>
      </c>
      <c r="AE10" s="18">
        <f t="shared" si="8"/>
        <v>3.2666355298282883</v>
      </c>
      <c r="AF10" s="20">
        <f t="shared" si="9"/>
        <v>3171.8681125816765</v>
      </c>
      <c r="AG10" s="20">
        <f>(SUM(AF$3:AF10)/($B10-$B$3+1))</f>
        <v>2908.6071703561802</v>
      </c>
      <c r="AH10" s="22">
        <f>SUM(AF$3:AF10)/1000</f>
        <v>23.268857362849442</v>
      </c>
      <c r="AI10" s="20">
        <v>2546.0231670726407</v>
      </c>
      <c r="AJ10" s="20">
        <f>(SUM(AI$3:AI10)/($B10-$B$3+1))</f>
        <v>2542.4026270758841</v>
      </c>
      <c r="AK10" s="21">
        <f>SUM(AI$3:AI10)/1000</f>
        <v>20.339221016607073</v>
      </c>
      <c r="AL10" s="23">
        <f t="shared" si="21"/>
        <v>3.6214190546481486</v>
      </c>
      <c r="AM10" s="23">
        <f t="shared" si="22"/>
        <v>3.8206059550049836</v>
      </c>
      <c r="AN10" s="24">
        <f t="shared" si="10"/>
        <v>1.2126095397691508</v>
      </c>
      <c r="AO10" s="24">
        <f t="shared" si="11"/>
        <v>1.2793060286109295</v>
      </c>
      <c r="AP10" s="24">
        <f t="shared" si="25"/>
        <v>1.2459577841900402</v>
      </c>
      <c r="AQ10" s="24">
        <f>(SUM(AP$3:AP10)/($B10-$B$3+1))</f>
        <v>1.273783199217962</v>
      </c>
      <c r="AR10" s="21">
        <f t="shared" si="12"/>
        <v>14.655489809559644</v>
      </c>
      <c r="AS10" s="21">
        <f t="shared" si="12"/>
        <v>16.413937550257785</v>
      </c>
      <c r="AT10" s="21">
        <f t="shared" si="26"/>
        <v>15.534713679908714</v>
      </c>
      <c r="AU10" s="21">
        <f>(SUM(AT$3:AT10)/($B10-$B$3+1))</f>
        <v>14.579724288498376</v>
      </c>
      <c r="AV10" s="22">
        <f>SUM(AT$3:AT10)/1000</f>
        <v>0.11663779430798701</v>
      </c>
    </row>
    <row r="11" spans="1:48" ht="15.6">
      <c r="A11" s="17" t="s">
        <v>63</v>
      </c>
      <c r="B11" s="17">
        <v>68</v>
      </c>
      <c r="C11" s="18">
        <f t="shared" si="0"/>
        <v>27.61608257716707</v>
      </c>
      <c r="D11" s="18">
        <f t="shared" si="1"/>
        <v>27.493560218550854</v>
      </c>
      <c r="E11" s="18">
        <f t="shared" si="13"/>
        <v>27.554821397858962</v>
      </c>
      <c r="F11" s="19">
        <f t="shared" si="23"/>
        <v>0.77969633496698165</v>
      </c>
      <c r="G11" s="19">
        <f t="shared" si="23"/>
        <v>0.73037254929461071</v>
      </c>
      <c r="H11" s="19">
        <f t="shared" si="14"/>
        <v>0.75503444213079618</v>
      </c>
      <c r="I11" s="19">
        <f>(SUM(H$3:H11)/($B11-$B$3+1))</f>
        <v>0.71914758371987575</v>
      </c>
      <c r="J11" s="19"/>
      <c r="K11" s="19">
        <f t="shared" si="15"/>
        <v>1.2440040086336386</v>
      </c>
      <c r="L11" s="19">
        <f t="shared" si="16"/>
        <v>1.3060060065685999</v>
      </c>
      <c r="M11" s="19">
        <f t="shared" si="17"/>
        <v>1.2750050076011192</v>
      </c>
      <c r="N11" s="19">
        <f>(SUM(M$3:M11)/($B11-$B$3+1))</f>
        <v>1.1585358785868871</v>
      </c>
      <c r="O11" s="19">
        <f t="shared" si="2"/>
        <v>1.5954980841179911</v>
      </c>
      <c r="P11" s="19">
        <f t="shared" si="3"/>
        <v>1.7881367636693526</v>
      </c>
      <c r="Q11" s="19">
        <f t="shared" si="18"/>
        <v>1.6918174238936718</v>
      </c>
      <c r="R11" s="19">
        <f>(SUM(Q$3:Q11)/($B11-$B$3+1))</f>
        <v>1.6129162686187053</v>
      </c>
      <c r="S11" s="19">
        <f t="shared" si="4"/>
        <v>5.4239343255986538</v>
      </c>
      <c r="T11" s="19">
        <f t="shared" si="5"/>
        <v>5.9053363398318082</v>
      </c>
      <c r="U11" s="19">
        <f t="shared" si="24"/>
        <v>5.664635332715231</v>
      </c>
      <c r="V11" s="19">
        <f>(SUM(U$3:U11)/($B11-$B$3+1))</f>
        <v>5.3917610405066592</v>
      </c>
      <c r="W11" s="18">
        <f t="shared" si="19"/>
        <v>4.2290217147708775</v>
      </c>
      <c r="X11" s="18">
        <f t="shared" si="20"/>
        <v>4.3130955569650631</v>
      </c>
      <c r="Y11" s="20">
        <f t="shared" si="6"/>
        <v>4271.0586358679702</v>
      </c>
      <c r="Z11" s="20">
        <f>(SUM(Y$3:Y11)/($B11-$B$3+1))</f>
        <v>3874.8241730247009</v>
      </c>
      <c r="AA11" s="21">
        <f>SUM(Y$3:Y11)/1000</f>
        <v>34.873417557222311</v>
      </c>
      <c r="AB11" s="20">
        <f t="shared" si="7"/>
        <v>3349.8367538993666</v>
      </c>
      <c r="AC11" s="20">
        <f>(SUM(AB$3:AB11)/($B11-$B$3+1))</f>
        <v>3344.3604443521708</v>
      </c>
      <c r="AD11" s="18">
        <f t="shared" si="8"/>
        <v>3.1685865618107081</v>
      </c>
      <c r="AE11" s="18">
        <f t="shared" si="8"/>
        <v>3.3265110508788065</v>
      </c>
      <c r="AF11" s="20">
        <f t="shared" si="9"/>
        <v>3247.5488063447574</v>
      </c>
      <c r="AG11" s="20">
        <f>(SUM(AF$3:AF11)/($B11-$B$3+1))</f>
        <v>2946.2673521326888</v>
      </c>
      <c r="AH11" s="22">
        <f>SUM(AF$3:AF11)/1000</f>
        <v>26.516406169194198</v>
      </c>
      <c r="AI11" s="20">
        <v>2547.0870992537634</v>
      </c>
      <c r="AJ11" s="20">
        <f>(SUM(AI$3:AI11)/($B11-$B$3+1))</f>
        <v>2542.9231239845376</v>
      </c>
      <c r="AK11" s="21">
        <f>SUM(AI$3:AI11)/1000</f>
        <v>22.886308115860835</v>
      </c>
      <c r="AL11" s="23">
        <f t="shared" si="21"/>
        <v>3.5966312531291211</v>
      </c>
      <c r="AM11" s="23">
        <f t="shared" si="22"/>
        <v>3.7939794673751681</v>
      </c>
      <c r="AN11" s="24">
        <f t="shared" si="10"/>
        <v>1.2048127561955067</v>
      </c>
      <c r="AO11" s="24">
        <f t="shared" si="11"/>
        <v>1.2709211863352883</v>
      </c>
      <c r="AP11" s="24">
        <f t="shared" si="25"/>
        <v>1.2378669712653974</v>
      </c>
      <c r="AQ11" s="24">
        <f>(SUM(AP$3:AP11)/($B11-$B$3+1))</f>
        <v>1.2697925072232326</v>
      </c>
      <c r="AR11" s="21">
        <f t="shared" si="12"/>
        <v>14.98791898360153</v>
      </c>
      <c r="AS11" s="21">
        <f t="shared" si="12"/>
        <v>16.598307032291771</v>
      </c>
      <c r="AT11" s="21">
        <f t="shared" si="26"/>
        <v>15.793113007946651</v>
      </c>
      <c r="AU11" s="21">
        <f>(SUM(AT$3:AT11)/($B11-$B$3+1))</f>
        <v>14.714545257325963</v>
      </c>
      <c r="AV11" s="22">
        <f>SUM(AT$3:AT11)/1000</f>
        <v>0.13243090731593365</v>
      </c>
    </row>
    <row r="12" spans="1:48" ht="15.6">
      <c r="A12" s="17" t="s">
        <v>63</v>
      </c>
      <c r="B12" s="17">
        <v>69</v>
      </c>
      <c r="C12" s="18">
        <f t="shared" si="0"/>
        <v>28.395778912134052</v>
      </c>
      <c r="D12" s="18">
        <f t="shared" si="1"/>
        <v>28.223932767845465</v>
      </c>
      <c r="E12" s="18">
        <f t="shared" si="13"/>
        <v>28.309855839989758</v>
      </c>
      <c r="F12" s="19">
        <f t="shared" si="23"/>
        <v>0.7890222245133991</v>
      </c>
      <c r="G12" s="19">
        <f t="shared" si="23"/>
        <v>0.73803676774735649</v>
      </c>
      <c r="H12" s="19">
        <f t="shared" si="14"/>
        <v>0.76352949613037779</v>
      </c>
      <c r="I12" s="19">
        <f>(SUM(H$3:H12)/($B12-$B$3+1))</f>
        <v>0.72358577496092591</v>
      </c>
      <c r="J12" s="19"/>
      <c r="K12" s="19">
        <f t="shared" si="15"/>
        <v>1.2794938737059807</v>
      </c>
      <c r="L12" s="19">
        <f t="shared" si="16"/>
        <v>1.3288642852086232</v>
      </c>
      <c r="M12" s="19">
        <f t="shared" si="17"/>
        <v>1.304179079457302</v>
      </c>
      <c r="N12" s="19">
        <f>(SUM(M$3:M12)/($B12-$B$3+1))</f>
        <v>1.1731001986739287</v>
      </c>
      <c r="O12" s="19">
        <f t="shared" si="2"/>
        <v>1.6216195614706066</v>
      </c>
      <c r="P12" s="19">
        <f t="shared" si="3"/>
        <v>1.8005394084424773</v>
      </c>
      <c r="Q12" s="19">
        <f t="shared" si="18"/>
        <v>1.7110794849565418</v>
      </c>
      <c r="R12" s="19">
        <f>(SUM(Q$3:Q12)/($B12-$B$3+1))</f>
        <v>1.6227325902524889</v>
      </c>
      <c r="S12" s="19">
        <f t="shared" si="4"/>
        <v>5.5122307201586587</v>
      </c>
      <c r="T12" s="19">
        <f t="shared" si="5"/>
        <v>5.950914145271831</v>
      </c>
      <c r="U12" s="19">
        <f t="shared" si="24"/>
        <v>5.7315724327152449</v>
      </c>
      <c r="V12" s="19">
        <f>(SUM(U$3:U12)/($B12-$B$3+1))</f>
        <v>5.4257421797275178</v>
      </c>
      <c r="W12" s="18">
        <f t="shared" si="19"/>
        <v>4.349272544850681</v>
      </c>
      <c r="X12" s="18">
        <f t="shared" si="20"/>
        <v>4.3919934409184451</v>
      </c>
      <c r="Y12" s="20">
        <f t="shared" si="6"/>
        <v>4370.6329928845626</v>
      </c>
      <c r="Z12" s="20">
        <f>(SUM(Y$3:Y12)/($B12-$B$3+1))</f>
        <v>3924.4050550106867</v>
      </c>
      <c r="AA12" s="21">
        <f>SUM(Y$3:Y12)/1000</f>
        <v>39.24405055010687</v>
      </c>
      <c r="AB12" s="20">
        <f t="shared" si="7"/>
        <v>3351.2521874705121</v>
      </c>
      <c r="AC12" s="20">
        <f>(SUM(AB$3:AB12)/($B12-$B$3+1))</f>
        <v>3345.0496186640048</v>
      </c>
      <c r="AD12" s="18">
        <f t="shared" si="8"/>
        <v>3.2603593834124847</v>
      </c>
      <c r="AE12" s="18">
        <f t="shared" si="8"/>
        <v>3.3861632561104833</v>
      </c>
      <c r="AF12" s="20">
        <f t="shared" si="9"/>
        <v>3323.2613197614842</v>
      </c>
      <c r="AG12" s="20">
        <f>(SUM(AF$3:AF12)/($B12-$B$3+1))</f>
        <v>2983.9667488955683</v>
      </c>
      <c r="AH12" s="22">
        <f>SUM(AF$3:AF12)/1000</f>
        <v>29.83966748895568</v>
      </c>
      <c r="AI12" s="20">
        <v>2548.1633405317061</v>
      </c>
      <c r="AJ12" s="20">
        <f>(SUM(AI$3:AI12)/($B12-$B$3+1))</f>
        <v>2543.4471456392544</v>
      </c>
      <c r="AK12" s="21">
        <f>SUM(AI$3:AI12)/1000</f>
        <v>25.434471456392544</v>
      </c>
      <c r="AL12" s="23">
        <f t="shared" si="21"/>
        <v>3.5717145058093518</v>
      </c>
      <c r="AM12" s="23">
        <f t="shared" si="22"/>
        <v>3.7672718656181203</v>
      </c>
      <c r="AN12" s="24">
        <f t="shared" si="10"/>
        <v>1.196971605061375</v>
      </c>
      <c r="AO12" s="24">
        <f t="shared" si="11"/>
        <v>1.2625078080448842</v>
      </c>
      <c r="AP12" s="24">
        <f t="shared" si="25"/>
        <v>1.2297397065531297</v>
      </c>
      <c r="AQ12" s="24">
        <f>(SUM(AP$3:AP12)/($B12-$B$3+1))</f>
        <v>1.2657872271562223</v>
      </c>
      <c r="AR12" s="21">
        <f t="shared" si="12"/>
        <v>15.315178356760439</v>
      </c>
      <c r="AS12" s="21">
        <f t="shared" si="12"/>
        <v>16.777015359078707</v>
      </c>
      <c r="AT12" s="21">
        <f t="shared" si="26"/>
        <v>16.046096857919572</v>
      </c>
      <c r="AU12" s="21">
        <f>(SUM(AT$3:AT12)/($B12-$B$3+1))</f>
        <v>14.847700417385322</v>
      </c>
      <c r="AV12" s="22">
        <f>SUM(AT$3:AT12)/1000</f>
        <v>0.14847700417385323</v>
      </c>
    </row>
    <row r="13" spans="1:48" ht="15.6">
      <c r="A13" s="17" t="s">
        <v>63</v>
      </c>
      <c r="B13" s="17">
        <v>70</v>
      </c>
      <c r="C13" s="18">
        <f t="shared" si="0"/>
        <v>29.184801136647451</v>
      </c>
      <c r="D13" s="18">
        <f t="shared" si="1"/>
        <v>28.961969535592822</v>
      </c>
      <c r="E13" s="18">
        <f t="shared" si="13"/>
        <v>29.073385336120136</v>
      </c>
      <c r="F13" s="19">
        <f t="shared" si="23"/>
        <v>0.79819016610890614</v>
      </c>
      <c r="G13" s="19">
        <f t="shared" si="23"/>
        <v>0.74556448591285829</v>
      </c>
      <c r="H13" s="19">
        <f t="shared" si="14"/>
        <v>0.77187732601088221</v>
      </c>
      <c r="I13" s="19">
        <f>(SUM(H$3:H13)/($B13-$B$3+1))</f>
        <v>0.7279759159654674</v>
      </c>
      <c r="J13" s="19"/>
      <c r="K13" s="19">
        <f t="shared" si="15"/>
        <v>1.3150285289416925</v>
      </c>
      <c r="L13" s="19">
        <f t="shared" si="16"/>
        <v>1.3516021146504908</v>
      </c>
      <c r="M13" s="19">
        <f t="shared" si="17"/>
        <v>1.3333153217960918</v>
      </c>
      <c r="N13" s="19">
        <f>(SUM(M$3:M13)/($B13-$B$3+1))</f>
        <v>1.1876652098668528</v>
      </c>
      <c r="O13" s="19">
        <f t="shared" si="2"/>
        <v>1.647512816842031</v>
      </c>
      <c r="P13" s="19">
        <f t="shared" si="3"/>
        <v>1.8128574257337497</v>
      </c>
      <c r="Q13" s="19">
        <f t="shared" si="18"/>
        <v>1.7301851212878905</v>
      </c>
      <c r="R13" s="19">
        <f>(SUM(Q$3:Q13)/($B13-$B$3+1))</f>
        <v>1.6325010021647979</v>
      </c>
      <c r="S13" s="19">
        <f t="shared" si="4"/>
        <v>5.5999091576727809</v>
      </c>
      <c r="T13" s="19">
        <f t="shared" si="5"/>
        <v>5.9962348057398023</v>
      </c>
      <c r="U13" s="19">
        <f t="shared" si="24"/>
        <v>5.7980719817062916</v>
      </c>
      <c r="V13" s="19">
        <f>(SUM(U$3:U13)/($B13-$B$3+1))</f>
        <v>5.4595903435437698</v>
      </c>
      <c r="W13" s="18">
        <f t="shared" si="19"/>
        <v>4.4697924207576216</v>
      </c>
      <c r="X13" s="18">
        <f t="shared" si="20"/>
        <v>4.4705797203541833</v>
      </c>
      <c r="Y13" s="20">
        <f t="shared" si="6"/>
        <v>4470.186070555902</v>
      </c>
      <c r="Z13" s="20">
        <f>(SUM(Y$3:Y13)/($B13-$B$3+1))</f>
        <v>3974.0215109693427</v>
      </c>
      <c r="AA13" s="21">
        <f>SUM(Y$3:Y13)/1000</f>
        <v>43.714236620662767</v>
      </c>
      <c r="AB13" s="20">
        <f t="shared" si="7"/>
        <v>3352.6848431728604</v>
      </c>
      <c r="AC13" s="20">
        <f>(SUM(AB$3:AB13)/($B13-$B$3+1))</f>
        <v>3345.7437299829912</v>
      </c>
      <c r="AD13" s="18">
        <f t="shared" si="8"/>
        <v>3.3523399975468715</v>
      </c>
      <c r="AE13" s="18">
        <f t="shared" si="8"/>
        <v>3.4455753088172547</v>
      </c>
      <c r="AF13" s="20">
        <f t="shared" si="9"/>
        <v>3398.9576531820635</v>
      </c>
      <c r="AG13" s="20">
        <f>(SUM(AF$3:AF13)/($B13-$B$3+1))</f>
        <v>3021.6931947397952</v>
      </c>
      <c r="AH13" s="22">
        <f>SUM(AF$3:AF13)/1000</f>
        <v>33.238625142137742</v>
      </c>
      <c r="AI13" s="20">
        <v>2549.2526768561929</v>
      </c>
      <c r="AJ13" s="20">
        <f>(SUM(AI$3:AI13)/($B13-$B$3+1))</f>
        <v>2543.9749212044308</v>
      </c>
      <c r="AK13" s="21">
        <f>SUM(AI$3:AI13)/1000</f>
        <v>27.983724133248739</v>
      </c>
      <c r="AL13" s="23">
        <f t="shared" si="21"/>
        <v>3.5466802089431462</v>
      </c>
      <c r="AM13" s="23">
        <f t="shared" si="22"/>
        <v>3.7404947002585733</v>
      </c>
      <c r="AN13" s="24">
        <f t="shared" si="10"/>
        <v>1.1890900980104839</v>
      </c>
      <c r="AO13" s="24">
        <f t="shared" si="11"/>
        <v>1.2540699887525331</v>
      </c>
      <c r="AP13" s="24">
        <f t="shared" si="25"/>
        <v>1.2215800433815085</v>
      </c>
      <c r="AQ13" s="24">
        <f>(SUM(AP$3:AP13)/($B13-$B$3+1))</f>
        <v>1.2617683922676119</v>
      </c>
      <c r="AR13" s="21">
        <f t="shared" si="12"/>
        <v>15.636874023658596</v>
      </c>
      <c r="AS13" s="21">
        <f t="shared" si="12"/>
        <v>16.950036487176412</v>
      </c>
      <c r="AT13" s="21">
        <f t="shared" si="26"/>
        <v>16.293455255417506</v>
      </c>
      <c r="AU13" s="21">
        <f>(SUM(AT$3:AT13)/($B13-$B$3+1))</f>
        <v>14.97913267538825</v>
      </c>
      <c r="AV13" s="22">
        <f>SUM(AT$3:AT13)/1000</f>
        <v>0.16477045942927074</v>
      </c>
    </row>
    <row r="14" spans="1:48" ht="15.6">
      <c r="A14" s="17" t="s">
        <v>63</v>
      </c>
      <c r="B14" s="17">
        <v>71</v>
      </c>
      <c r="C14" s="18">
        <f t="shared" si="0"/>
        <v>29.982991302756357</v>
      </c>
      <c r="D14" s="18">
        <f t="shared" si="1"/>
        <v>29.70753402150568</v>
      </c>
      <c r="E14" s="18">
        <f t="shared" si="13"/>
        <v>29.84526266213102</v>
      </c>
      <c r="F14" s="19">
        <f t="shared" si="23"/>
        <v>0.80719822496656946</v>
      </c>
      <c r="G14" s="19">
        <f t="shared" si="23"/>
        <v>0.75295500695726147</v>
      </c>
      <c r="H14" s="19">
        <f t="shared" si="14"/>
        <v>0.78007661596191546</v>
      </c>
      <c r="I14" s="19">
        <f>(SUM(H$3:H14)/($B14-$B$3+1))</f>
        <v>0.73231764096517138</v>
      </c>
      <c r="J14" s="19"/>
      <c r="K14" s="19">
        <f t="shared" si="15"/>
        <v>1.3505762037779461</v>
      </c>
      <c r="L14" s="19">
        <f t="shared" si="16"/>
        <v>1.3742125947458552</v>
      </c>
      <c r="M14" s="19">
        <f t="shared" si="17"/>
        <v>1.3623943992619005</v>
      </c>
      <c r="N14" s="19">
        <f>(SUM(M$3:M14)/($B14-$B$3+1))</f>
        <v>1.2022259756497733</v>
      </c>
      <c r="O14" s="19">
        <f t="shared" si="2"/>
        <v>1.6731654778278049</v>
      </c>
      <c r="P14" s="19">
        <f t="shared" si="3"/>
        <v>1.8250925779737288</v>
      </c>
      <c r="Q14" s="19">
        <f t="shared" si="18"/>
        <v>1.749129027900767</v>
      </c>
      <c r="R14" s="19">
        <f>(SUM(Q$3:Q14)/($B14-$B$3+1))</f>
        <v>1.6422200043094621</v>
      </c>
      <c r="S14" s="19">
        <f t="shared" si="4"/>
        <v>5.6869326970330807</v>
      </c>
      <c r="T14" s="19">
        <f t="shared" si="5"/>
        <v>6.0413028503707888</v>
      </c>
      <c r="U14" s="19">
        <f t="shared" si="24"/>
        <v>5.8641177737019348</v>
      </c>
      <c r="V14" s="19">
        <f>(SUM(U$3:U14)/($B14-$B$3+1))</f>
        <v>5.4933009627236169</v>
      </c>
      <c r="W14" s="18">
        <f t="shared" si="19"/>
        <v>4.5904819785494482</v>
      </c>
      <c r="X14" s="18">
        <f t="shared" si="20"/>
        <v>4.5488292297318607</v>
      </c>
      <c r="Y14" s="20">
        <f t="shared" si="6"/>
        <v>4569.6556041406548</v>
      </c>
      <c r="Z14" s="20">
        <f>(SUM(Y$3:Y14)/($B14-$B$3+1))</f>
        <v>4023.6576854002851</v>
      </c>
      <c r="AA14" s="21">
        <f>SUM(Y$3:Y14)/1000</f>
        <v>48.283892224803424</v>
      </c>
      <c r="AB14" s="20">
        <f t="shared" si="7"/>
        <v>3354.1356354784934</v>
      </c>
      <c r="AC14" s="20">
        <f>(SUM(AB$3:AB14)/($B14-$B$3+1))</f>
        <v>3346.44305544095</v>
      </c>
      <c r="AD14" s="18">
        <f t="shared" si="8"/>
        <v>3.4444498594505837</v>
      </c>
      <c r="AE14" s="18">
        <f t="shared" si="8"/>
        <v>3.5047310663307245</v>
      </c>
      <c r="AF14" s="20">
        <f t="shared" si="9"/>
        <v>3474.5904628906537</v>
      </c>
      <c r="AG14" s="20">
        <f>(SUM(AF$3:AF14)/($B14-$B$3+1))</f>
        <v>3059.4346337523662</v>
      </c>
      <c r="AH14" s="22">
        <f>SUM(AF$3:AF14)/1000</f>
        <v>36.713215605028395</v>
      </c>
      <c r="AI14" s="20">
        <v>2550.3558035566425</v>
      </c>
      <c r="AJ14" s="20">
        <f>(SUM(AI$3:AI14)/($B14-$B$3+1))</f>
        <v>2544.5066614004486</v>
      </c>
      <c r="AK14" s="21">
        <f>SUM(AI$3:AI14)/1000</f>
        <v>30.53407993680538</v>
      </c>
      <c r="AL14" s="23">
        <f t="shared" si="21"/>
        <v>3.5215397565474733</v>
      </c>
      <c r="AM14" s="23">
        <f t="shared" si="22"/>
        <v>3.7136594627856292</v>
      </c>
      <c r="AN14" s="24">
        <f t="shared" si="10"/>
        <v>1.1811721989190138</v>
      </c>
      <c r="AO14" s="24">
        <f t="shared" si="11"/>
        <v>1.2456117542161196</v>
      </c>
      <c r="AP14" s="24">
        <f t="shared" si="25"/>
        <v>1.2133919765675667</v>
      </c>
      <c r="AQ14" s="24">
        <f>(SUM(AP$3:AP14)/($B14-$B$3+1))</f>
        <v>1.257737024292608</v>
      </c>
      <c r="AR14" s="21">
        <f t="shared" si="12"/>
        <v>15.952630644240907</v>
      </c>
      <c r="AS14" s="21">
        <f t="shared" si="12"/>
        <v>17.117353608072701</v>
      </c>
      <c r="AT14" s="21">
        <f t="shared" si="26"/>
        <v>16.534992126156805</v>
      </c>
      <c r="AU14" s="21">
        <f>(SUM(AT$3:AT14)/($B14-$B$3+1))</f>
        <v>15.108787629618961</v>
      </c>
      <c r="AV14" s="22">
        <f>SUM(AT$3:AT14)/1000</f>
        <v>0.18130545155542754</v>
      </c>
    </row>
    <row r="15" spans="1:48" ht="15.6">
      <c r="A15" s="17" t="s">
        <v>63</v>
      </c>
      <c r="B15" s="17">
        <v>72</v>
      </c>
      <c r="C15" s="18">
        <f t="shared" si="0"/>
        <v>30.790189527722926</v>
      </c>
      <c r="D15" s="18">
        <f t="shared" si="1"/>
        <v>30.460489028462941</v>
      </c>
      <c r="E15" s="18">
        <f t="shared" si="13"/>
        <v>30.625339278092934</v>
      </c>
      <c r="F15" s="19">
        <f t="shared" si="23"/>
        <v>0.81604458025093507</v>
      </c>
      <c r="G15" s="19">
        <f t="shared" si="23"/>
        <v>0.76020770182023156</v>
      </c>
      <c r="H15" s="19">
        <f t="shared" si="14"/>
        <v>0.78812614103558332</v>
      </c>
      <c r="I15" s="19">
        <f>(SUM(H$3:H15)/($B15-$B$3+1))</f>
        <v>0.73661060250904931</v>
      </c>
      <c r="J15" s="19"/>
      <c r="K15" s="19">
        <f t="shared" si="15"/>
        <v>1.3861055071690278</v>
      </c>
      <c r="L15" s="19">
        <f t="shared" si="16"/>
        <v>1.3966891306630753</v>
      </c>
      <c r="M15" s="19">
        <f t="shared" si="17"/>
        <v>1.3913973189160516</v>
      </c>
      <c r="N15" s="19">
        <f>(SUM(M$3:M15)/($B15-$B$3+1))</f>
        <v>1.2167776174394871</v>
      </c>
      <c r="O15" s="19">
        <f t="shared" si="2"/>
        <v>1.6985659125911945</v>
      </c>
      <c r="P15" s="19">
        <f t="shared" si="3"/>
        <v>1.8372467515375874</v>
      </c>
      <c r="Q15" s="19">
        <f t="shared" si="18"/>
        <v>1.7679063320643911</v>
      </c>
      <c r="R15" s="19">
        <f>(SUM(Q$3:Q15)/($B15-$B$3+1))</f>
        <v>1.6518881833675336</v>
      </c>
      <c r="S15" s="19">
        <f t="shared" si="4"/>
        <v>5.7732665050118275</v>
      </c>
      <c r="T15" s="19">
        <f t="shared" si="5"/>
        <v>6.0861232463562684</v>
      </c>
      <c r="U15" s="19">
        <f t="shared" si="24"/>
        <v>5.9296948756840475</v>
      </c>
      <c r="V15" s="19">
        <f>(SUM(U$3:U15)/($B15-$B$3+1))</f>
        <v>5.5268697252590346</v>
      </c>
      <c r="W15" s="18">
        <f t="shared" si="19"/>
        <v>4.7112428417591596</v>
      </c>
      <c r="X15" s="18">
        <f t="shared" si="20"/>
        <v>4.6267177661071859</v>
      </c>
      <c r="Y15" s="20">
        <f t="shared" si="6"/>
        <v>4668.9803039331728</v>
      </c>
      <c r="Z15" s="20">
        <f>(SUM(Y$3:Y15)/($B15-$B$3+1))</f>
        <v>4073.297886825892</v>
      </c>
      <c r="AA15" s="21">
        <f>SUM(Y$3:Y15)/1000</f>
        <v>52.952872528736599</v>
      </c>
      <c r="AB15" s="20">
        <f t="shared" si="7"/>
        <v>3355.6053619324753</v>
      </c>
      <c r="AC15" s="20">
        <f>(SUM(AB$3:AB15)/($B15-$B$3+1))</f>
        <v>3347.1478482479902</v>
      </c>
      <c r="AD15" s="18">
        <f t="shared" si="8"/>
        <v>3.5366112300267387</v>
      </c>
      <c r="AE15" s="18">
        <f t="shared" si="8"/>
        <v>3.5636150630754004</v>
      </c>
      <c r="AF15" s="20">
        <f t="shared" si="9"/>
        <v>3550.1131465510698</v>
      </c>
      <c r="AG15" s="20">
        <f>(SUM(AF$3:AF15)/($B15-$B$3+1))</f>
        <v>3097.1791347368821</v>
      </c>
      <c r="AH15" s="22">
        <f>SUM(AF$3:AF15)/1000</f>
        <v>40.263328751579465</v>
      </c>
      <c r="AI15" s="20">
        <v>2551.4733270556644</v>
      </c>
      <c r="AJ15" s="20">
        <f>(SUM(AI$3:AI15)/($B15-$B$3+1))</f>
        <v>2545.0425587585419</v>
      </c>
      <c r="AK15" s="21">
        <f>SUM(AI$3:AI15)/1000</f>
        <v>33.085553263861044</v>
      </c>
      <c r="AL15" s="23">
        <f t="shared" si="21"/>
        <v>3.4963045302217255</v>
      </c>
      <c r="AM15" s="23">
        <f t="shared" si="22"/>
        <v>3.6867775780876739</v>
      </c>
      <c r="AN15" s="24">
        <f t="shared" si="10"/>
        <v>1.1732218228560827</v>
      </c>
      <c r="AO15" s="24">
        <f t="shared" si="11"/>
        <v>1.2371370609283425</v>
      </c>
      <c r="AP15" s="24">
        <f t="shared" si="25"/>
        <v>1.2051794418922126</v>
      </c>
      <c r="AQ15" s="24">
        <f>(SUM(AP$3:AP15)/($B15-$B$3+1))</f>
        <v>1.2536941333387313</v>
      </c>
      <c r="AR15" s="21">
        <f t="shared" si="12"/>
        <v>16.262092297917018</v>
      </c>
      <c r="AS15" s="21">
        <f t="shared" si="12"/>
        <v>17.278958861390787</v>
      </c>
      <c r="AT15" s="21">
        <f t="shared" si="26"/>
        <v>16.770525579653903</v>
      </c>
      <c r="AU15" s="21">
        <f>(SUM(AT$3:AT15)/($B15-$B$3+1))</f>
        <v>15.236613625775496</v>
      </c>
      <c r="AV15" s="22">
        <f>SUM(AT$3:AT15)/1000</f>
        <v>0.19807597713508143</v>
      </c>
    </row>
    <row r="16" spans="1:48" ht="15.6">
      <c r="A16" s="17" t="s">
        <v>63</v>
      </c>
      <c r="B16" s="17">
        <v>73</v>
      </c>
      <c r="C16" s="18">
        <f t="shared" si="0"/>
        <v>31.606234107973862</v>
      </c>
      <c r="D16" s="18">
        <f t="shared" si="1"/>
        <v>31.220696730283173</v>
      </c>
      <c r="E16" s="18">
        <f t="shared" si="13"/>
        <v>31.413465419128517</v>
      </c>
      <c r="F16" s="19">
        <f t="shared" si="23"/>
        <v>0.82472752451580078</v>
      </c>
      <c r="G16" s="19">
        <f t="shared" si="23"/>
        <v>0.76732200845395937</v>
      </c>
      <c r="H16" s="19">
        <f t="shared" si="14"/>
        <v>0.79602476648488008</v>
      </c>
      <c r="I16" s="19">
        <f>(SUM(H$3:H16)/($B16-$B$3+1))</f>
        <v>0.74085447136446569</v>
      </c>
      <c r="J16" s="19"/>
      <c r="K16" s="19">
        <f t="shared" si="15"/>
        <v>1.4215855045907571</v>
      </c>
      <c r="L16" s="19">
        <f t="shared" si="16"/>
        <v>1.4190254291077826</v>
      </c>
      <c r="M16" s="19">
        <f t="shared" si="17"/>
        <v>1.4203054668492698</v>
      </c>
      <c r="N16" s="19">
        <f>(SUM(M$3:M16)/($B16-$B$3+1))</f>
        <v>1.2313153209687573</v>
      </c>
      <c r="O16" s="19">
        <f t="shared" si="2"/>
        <v>1.723703238139618</v>
      </c>
      <c r="P16" s="19">
        <f t="shared" si="3"/>
        <v>1.8493219449900955</v>
      </c>
      <c r="Q16" s="19">
        <f t="shared" si="18"/>
        <v>1.7865125915648568</v>
      </c>
      <c r="R16" s="19">
        <f>(SUM(Q$3:Q16)/($B16-$B$3+1))</f>
        <v>1.6615042125244854</v>
      </c>
      <c r="S16" s="19">
        <f t="shared" si="4"/>
        <v>5.8588778725921813</v>
      </c>
      <c r="T16" s="19">
        <f t="shared" si="5"/>
        <v>6.1307013615040757</v>
      </c>
      <c r="U16" s="19">
        <f t="shared" si="24"/>
        <v>5.994789617048129</v>
      </c>
      <c r="V16" s="19">
        <f>(SUM(U$3:U16)/($B16-$B$3+1))</f>
        <v>5.560292574672542</v>
      </c>
      <c r="W16" s="18">
        <f t="shared" si="19"/>
        <v>4.831977844303351</v>
      </c>
      <c r="X16" s="18">
        <f t="shared" si="20"/>
        <v>4.7042220819407303</v>
      </c>
      <c r="Y16" s="20">
        <f t="shared" si="6"/>
        <v>4768.0999631220402</v>
      </c>
      <c r="Z16" s="20">
        <f>(SUM(Y$3:Y16)/($B16-$B$3+1))</f>
        <v>4122.926606561331</v>
      </c>
      <c r="AA16" s="21">
        <f>SUM(Y$3:Y16)/1000</f>
        <v>57.720972491858639</v>
      </c>
      <c r="AB16" s="20">
        <f t="shared" si="7"/>
        <v>3357.0947056194468</v>
      </c>
      <c r="AC16" s="20">
        <f>(SUM(AB$3:AB16)/($B16-$B$3+1))</f>
        <v>3347.8583380602372</v>
      </c>
      <c r="AD16" s="18">
        <f t="shared" si="8"/>
        <v>3.6287473569388431</v>
      </c>
      <c r="AE16" s="18">
        <f t="shared" si="8"/>
        <v>3.6222124934977016</v>
      </c>
      <c r="AF16" s="20">
        <f t="shared" si="9"/>
        <v>3625.479925218272</v>
      </c>
      <c r="AG16" s="20">
        <f>(SUM(AF$3:AF16)/($B16-$B$3+1))</f>
        <v>3134.9149054855525</v>
      </c>
      <c r="AH16" s="22">
        <f>SUM(AF$3:AF16)/1000</f>
        <v>43.888808676797737</v>
      </c>
      <c r="AI16" s="20">
        <v>2552.6057667445612</v>
      </c>
      <c r="AJ16" s="20">
        <f>(SUM(AI$3:AI16)/($B16-$B$3+1))</f>
        <v>2545.5827879004005</v>
      </c>
      <c r="AK16" s="21">
        <f>SUM(AI$3:AI16)/1000</f>
        <v>35.638159030605607</v>
      </c>
      <c r="AL16" s="23">
        <f t="shared" si="21"/>
        <v>3.4709858891371672</v>
      </c>
      <c r="AM16" s="23">
        <f t="shared" si="22"/>
        <v>3.6598603970736732</v>
      </c>
      <c r="AN16" s="24">
        <f t="shared" si="10"/>
        <v>1.1652428351702193</v>
      </c>
      <c r="AO16" s="24">
        <f t="shared" si="11"/>
        <v>1.2286497962322316</v>
      </c>
      <c r="AP16" s="24">
        <f t="shared" si="25"/>
        <v>1.1969463157012254</v>
      </c>
      <c r="AQ16" s="24">
        <f>(SUM(AP$3:AP16)/($B16-$B$3+1))</f>
        <v>1.2496407177931952</v>
      </c>
      <c r="AR16" s="21">
        <f t="shared" si="12"/>
        <v>16.564923238062207</v>
      </c>
      <c r="AS16" s="21">
        <f t="shared" si="12"/>
        <v>17.434853043216318</v>
      </c>
      <c r="AT16" s="21">
        <f t="shared" si="26"/>
        <v>16.999888140639264</v>
      </c>
      <c r="AU16" s="21">
        <f>(SUM(AT$3:AT16)/($B16-$B$3+1))</f>
        <v>15.362561805408621</v>
      </c>
      <c r="AV16" s="22">
        <f>SUM(AT$3:AT16)/1000</f>
        <v>0.2150758652757207</v>
      </c>
    </row>
    <row r="17" spans="1:48" ht="15.6">
      <c r="A17" s="17" t="s">
        <v>63</v>
      </c>
      <c r="B17" s="17">
        <v>74</v>
      </c>
      <c r="C17" s="18">
        <f t="shared" si="0"/>
        <v>32.430961632489662</v>
      </c>
      <c r="D17" s="18">
        <f t="shared" si="1"/>
        <v>31.988018738737132</v>
      </c>
      <c r="E17" s="18">
        <f t="shared" si="13"/>
        <v>32.209490185613397</v>
      </c>
      <c r="F17" s="19">
        <f t="shared" si="23"/>
        <v>0.83324546305833991</v>
      </c>
      <c r="G17" s="19">
        <f t="shared" si="23"/>
        <v>0.77429743102867832</v>
      </c>
      <c r="H17" s="19">
        <f t="shared" si="14"/>
        <v>0.80377144704350911</v>
      </c>
      <c r="I17" s="19">
        <f>(SUM(H$3:H17)/($B17-$B$3+1))</f>
        <v>0.74504893640973535</v>
      </c>
      <c r="J17" s="19"/>
      <c r="K17" s="19">
        <f t="shared" si="15"/>
        <v>1.4569857918155964</v>
      </c>
      <c r="L17" s="19">
        <f t="shared" si="16"/>
        <v>1.4412154942808546</v>
      </c>
      <c r="M17" s="19">
        <f t="shared" si="17"/>
        <v>1.4491006430482254</v>
      </c>
      <c r="N17" s="19">
        <f>(SUM(M$3:M17)/($B17-$B$3+1))</f>
        <v>1.2458343424407219</v>
      </c>
      <c r="O17" s="19">
        <f t="shared" si="2"/>
        <v>1.7485673266889246</v>
      </c>
      <c r="P17" s="19">
        <f t="shared" si="3"/>
        <v>1.8613202582451485</v>
      </c>
      <c r="Q17" s="19">
        <f t="shared" si="18"/>
        <v>1.8049437924670366</v>
      </c>
      <c r="R17" s="19">
        <f>(SUM(Q$3:Q17)/($B17-$B$3+1))</f>
        <v>1.6710668511873221</v>
      </c>
      <c r="S17" s="19">
        <f t="shared" si="4"/>
        <v>5.9437362268740568</v>
      </c>
      <c r="T17" s="19">
        <f t="shared" si="5"/>
        <v>6.1750429296284342</v>
      </c>
      <c r="U17" s="19">
        <f t="shared" si="24"/>
        <v>6.0593895782512455</v>
      </c>
      <c r="V17" s="19">
        <f>(SUM(U$3:U17)/($B17-$B$3+1))</f>
        <v>5.593565708244455</v>
      </c>
      <c r="W17" s="18">
        <f t="shared" si="19"/>
        <v>4.9525912446583034</v>
      </c>
      <c r="X17" s="18">
        <f t="shared" si="20"/>
        <v>4.7813198769031002</v>
      </c>
      <c r="Y17" s="20">
        <f t="shared" si="6"/>
        <v>4866.9555607807015</v>
      </c>
      <c r="Z17" s="20">
        <f>(SUM(Y$3:Y17)/($B17-$B$3+1))</f>
        <v>4172.528536842623</v>
      </c>
      <c r="AA17" s="21">
        <f>SUM(Y$3:Y17)/1000</f>
        <v>62.587928052639342</v>
      </c>
      <c r="AB17" s="20">
        <f t="shared" si="7"/>
        <v>3358.6042378277598</v>
      </c>
      <c r="AC17" s="20">
        <f>(SUM(AB$3:AB17)/($B17-$B$3+1))</f>
        <v>3348.5747313780721</v>
      </c>
      <c r="AD17" s="18">
        <f t="shared" si="8"/>
        <v>3.7207826483607045</v>
      </c>
      <c r="AE17" s="18">
        <f t="shared" si="8"/>
        <v>3.6805091949362669</v>
      </c>
      <c r="AF17" s="20">
        <f t="shared" si="9"/>
        <v>3700.6459216484859</v>
      </c>
      <c r="AG17" s="20">
        <f>(SUM(AF$3:AF17)/($B17-$B$3+1))</f>
        <v>3172.6303065630814</v>
      </c>
      <c r="AH17" s="22">
        <f>SUM(AF$3:AF17)/1000</f>
        <v>47.589454598446224</v>
      </c>
      <c r="AI17" s="20">
        <v>2553.7535570090349</v>
      </c>
      <c r="AJ17" s="20">
        <f>(SUM(AI$3:AI17)/($B17-$B$3+1))</f>
        <v>2546.127505840976</v>
      </c>
      <c r="AK17" s="21">
        <f>SUM(AI$3:AI17)/1000</f>
        <v>38.191912587614645</v>
      </c>
      <c r="AL17" s="23">
        <f t="shared" si="21"/>
        <v>3.4455951602072803</v>
      </c>
      <c r="AM17" s="23">
        <f t="shared" si="22"/>
        <v>3.632919189485925</v>
      </c>
      <c r="AN17" s="24">
        <f t="shared" si="10"/>
        <v>1.157239050691099</v>
      </c>
      <c r="AO17" s="24">
        <f t="shared" si="11"/>
        <v>1.2201537785493217</v>
      </c>
      <c r="AP17" s="24">
        <f t="shared" si="25"/>
        <v>1.1886964146202104</v>
      </c>
      <c r="AQ17" s="24">
        <f>(SUM(AP$3:AP17)/($B17-$B$3+1))</f>
        <v>1.2455777642483297</v>
      </c>
      <c r="AR17" s="21">
        <f t="shared" si="12"/>
        <v>16.860808545910999</v>
      </c>
      <c r="AS17" s="21">
        <f t="shared" si="12"/>
        <v>17.585045310506132</v>
      </c>
      <c r="AT17" s="21">
        <f t="shared" si="26"/>
        <v>17.222926928208565</v>
      </c>
      <c r="AU17" s="21">
        <f>(SUM(AT$3:AT17)/($B17-$B$3+1))</f>
        <v>15.486586146928619</v>
      </c>
      <c r="AV17" s="22">
        <f>SUM(AT$3:AT17)/1000</f>
        <v>0.23229879220392929</v>
      </c>
    </row>
    <row r="18" spans="1:48" ht="15.6">
      <c r="A18" s="17" t="s">
        <v>63</v>
      </c>
      <c r="B18" s="17">
        <v>75</v>
      </c>
      <c r="C18" s="18">
        <f t="shared" si="0"/>
        <v>33.264207095548002</v>
      </c>
      <c r="D18" s="18">
        <f t="shared" si="1"/>
        <v>32.762316169765811</v>
      </c>
      <c r="E18" s="18">
        <f t="shared" si="13"/>
        <v>33.013261632656906</v>
      </c>
      <c r="F18" s="19">
        <f t="shared" si="23"/>
        <v>0.84159691318948404</v>
      </c>
      <c r="G18" s="19">
        <f t="shared" si="23"/>
        <v>0.78113353910530492</v>
      </c>
      <c r="H18" s="19">
        <f t="shared" si="14"/>
        <v>0.81136522614739448</v>
      </c>
      <c r="I18" s="19">
        <f>(SUM(H$3:H18)/($B18-$B$3+1))</f>
        <v>0.749193704518339</v>
      </c>
      <c r="J18" s="19"/>
      <c r="K18" s="19">
        <f t="shared" si="15"/>
        <v>1.4922765651972447</v>
      </c>
      <c r="L18" s="19">
        <f t="shared" si="16"/>
        <v>1.4632536235897555</v>
      </c>
      <c r="M18" s="19">
        <f t="shared" si="17"/>
        <v>1.4777650943935001</v>
      </c>
      <c r="N18" s="19">
        <f>(SUM(M$3:M18)/($B18-$B$3+1))</f>
        <v>1.2603300144377705</v>
      </c>
      <c r="O18" s="19">
        <f t="shared" si="2"/>
        <v>1.773148810089874</v>
      </c>
      <c r="P18" s="19">
        <f t="shared" si="3"/>
        <v>1.8732438825578244</v>
      </c>
      <c r="Q18" s="19">
        <f t="shared" si="18"/>
        <v>1.8231963463238492</v>
      </c>
      <c r="R18" s="19">
        <f>(SUM(Q$3:Q18)/($B18-$B$3+1))</f>
        <v>1.6805749446333551</v>
      </c>
      <c r="S18" s="19">
        <f t="shared" si="4"/>
        <v>6.027813138467657</v>
      </c>
      <c r="T18" s="19">
        <f t="shared" si="5"/>
        <v>6.2191540185159768</v>
      </c>
      <c r="U18" s="19">
        <f t="shared" si="24"/>
        <v>6.1234835784918165</v>
      </c>
      <c r="V18" s="19">
        <f>(SUM(U$3:U18)/($B18-$B$3+1))</f>
        <v>5.626685575134915</v>
      </c>
      <c r="W18" s="18">
        <f t="shared" si="19"/>
        <v>5.0729889306173961</v>
      </c>
      <c r="X18" s="18">
        <f t="shared" si="20"/>
        <v>4.8579897887243639</v>
      </c>
      <c r="Y18" s="20">
        <f t="shared" si="6"/>
        <v>4965.4893596708798</v>
      </c>
      <c r="Z18" s="20">
        <f>(SUM(Y$3:Y18)/($B18-$B$3+1))</f>
        <v>4222.0885882693892</v>
      </c>
      <c r="AA18" s="21">
        <f>SUM(Y$3:Y18)/1000</f>
        <v>67.553417412310225</v>
      </c>
      <c r="AB18" s="20">
        <f t="shared" si="7"/>
        <v>3360.1344208964424</v>
      </c>
      <c r="AC18" s="20">
        <f>(SUM(AB$3:AB18)/($B18-$B$3+1))</f>
        <v>3349.2972119729702</v>
      </c>
      <c r="AD18" s="18">
        <f t="shared" si="8"/>
        <v>3.8126428388334235</v>
      </c>
      <c r="AE18" s="18">
        <f t="shared" si="8"/>
        <v>3.7384916304968852</v>
      </c>
      <c r="AF18" s="20">
        <f t="shared" si="9"/>
        <v>3775.5672346651545</v>
      </c>
      <c r="AG18" s="20">
        <f>(SUM(AF$3:AF18)/($B18-$B$3+1))</f>
        <v>3210.3138645694612</v>
      </c>
      <c r="AH18" s="22">
        <f>SUM(AF$3:AF18)/1000</f>
        <v>51.365021833111378</v>
      </c>
      <c r="AI18" s="20">
        <v>2554.91704939391</v>
      </c>
      <c r="AJ18" s="20">
        <f>(SUM(AI$3:AI18)/($B18-$B$3+1))</f>
        <v>2546.6768523130345</v>
      </c>
      <c r="AK18" s="21">
        <f>SUM(AI$3:AI18)/1000</f>
        <v>40.746829637008553</v>
      </c>
      <c r="AL18" s="23">
        <f t="shared" si="21"/>
        <v>3.4201436284497406</v>
      </c>
      <c r="AM18" s="23">
        <f t="shared" si="22"/>
        <v>3.6059651369089902</v>
      </c>
      <c r="AN18" s="24">
        <f t="shared" si="10"/>
        <v>1.1492142330363628</v>
      </c>
      <c r="AO18" s="24">
        <f t="shared" si="11"/>
        <v>1.2116527577080451</v>
      </c>
      <c r="AP18" s="24">
        <f t="shared" si="25"/>
        <v>1.180433495372204</v>
      </c>
      <c r="AQ18" s="24">
        <f>(SUM(AP$3:AP18)/($B18-$B$3+1))</f>
        <v>1.2415062474435716</v>
      </c>
      <c r="AR18" s="21">
        <f t="shared" si="12"/>
        <v>17.149454683512893</v>
      </c>
      <c r="AS18" s="21">
        <f t="shared" si="12"/>
        <v>17.729552882488171</v>
      </c>
      <c r="AT18" s="21">
        <f t="shared" si="26"/>
        <v>17.439503783000532</v>
      </c>
      <c r="AU18" s="21">
        <f>(SUM(AT$3:AT18)/($B18-$B$3+1))</f>
        <v>15.608643499183113</v>
      </c>
      <c r="AV18" s="22">
        <f>SUM(AT$3:AT18)/1000</f>
        <v>0.24973829598692981</v>
      </c>
    </row>
    <row r="19" spans="1:48" ht="15.6">
      <c r="A19" s="17" t="s">
        <v>63</v>
      </c>
      <c r="B19" s="17">
        <v>76</v>
      </c>
      <c r="C19" s="18">
        <f t="shared" si="0"/>
        <v>34.105804008737486</v>
      </c>
      <c r="D19" s="18">
        <f t="shared" si="1"/>
        <v>33.543449708871115</v>
      </c>
      <c r="E19" s="18">
        <f t="shared" si="13"/>
        <v>33.824626858804301</v>
      </c>
      <c r="F19" s="19">
        <f t="shared" si="23"/>
        <v>0.84978050342198941</v>
      </c>
      <c r="G19" s="19">
        <f t="shared" si="23"/>
        <v>0.78782996677654182</v>
      </c>
      <c r="H19" s="19">
        <f t="shared" si="14"/>
        <v>0.81880523509926562</v>
      </c>
      <c r="I19" s="19">
        <f>(SUM(H$3:H19)/($B19-$B$3+1))</f>
        <v>0.75328850043486406</v>
      </c>
      <c r="J19" s="19"/>
      <c r="K19" s="19">
        <f t="shared" si="15"/>
        <v>1.5274286882294872</v>
      </c>
      <c r="L19" s="19">
        <f t="shared" si="16"/>
        <v>1.4851344031292779</v>
      </c>
      <c r="M19" s="19">
        <f t="shared" si="17"/>
        <v>1.5062815456793825</v>
      </c>
      <c r="N19" s="19">
        <f>(SUM(M$3:M19)/($B19-$B$3+1))</f>
        <v>1.27479775156963</v>
      </c>
      <c r="O19" s="19">
        <f t="shared" si="2"/>
        <v>1.7974390823026296</v>
      </c>
      <c r="P19" s="19">
        <f t="shared" si="3"/>
        <v>1.8850950912743305</v>
      </c>
      <c r="Q19" s="19">
        <f t="shared" si="18"/>
        <v>1.8412670867884802</v>
      </c>
      <c r="R19" s="19">
        <f>(SUM(Q$3:Q19)/($B19-$B$3+1))</f>
        <v>1.6900274235836565</v>
      </c>
      <c r="S19" s="19">
        <f t="shared" si="4"/>
        <v>6.1110823243144479</v>
      </c>
      <c r="T19" s="19">
        <f t="shared" si="5"/>
        <v>6.2630410002361279</v>
      </c>
      <c r="U19" s="19">
        <f t="shared" si="24"/>
        <v>6.1870616622752879</v>
      </c>
      <c r="V19" s="19">
        <f>(SUM(U$3:U19)/($B19-$B$3+1))</f>
        <v>5.6596488743784663</v>
      </c>
      <c r="W19" s="18">
        <f t="shared" si="19"/>
        <v>5.1930786140091527</v>
      </c>
      <c r="X19" s="18">
        <f t="shared" si="20"/>
        <v>4.934211383136148</v>
      </c>
      <c r="Y19" s="20">
        <f t="shared" si="6"/>
        <v>5063.6449985726504</v>
      </c>
      <c r="Z19" s="20">
        <f>(SUM(Y$3:Y19)/($B19-$B$3+1))</f>
        <v>4271.5919065225225</v>
      </c>
      <c r="AA19" s="21">
        <f>SUM(Y$3:Y19)/1000</f>
        <v>72.61706241088288</v>
      </c>
      <c r="AB19" s="20">
        <f t="shared" si="7"/>
        <v>3361.6856112306546</v>
      </c>
      <c r="AC19" s="20">
        <f>(SUM(AB$3:AB19)/($B19-$B$3+1))</f>
        <v>3350.0259413410695</v>
      </c>
      <c r="AD19" s="18">
        <f t="shared" ref="AD19:AE82" si="27">$AI19*K19/1000</f>
        <v>3.9042551467355167</v>
      </c>
      <c r="AE19" s="18">
        <f t="shared" si="27"/>
        <v>3.7961468719908549</v>
      </c>
      <c r="AF19" s="20">
        <f t="shared" si="9"/>
        <v>3850.2010093631861</v>
      </c>
      <c r="AG19" s="20">
        <f>(SUM(AF$3:AF19)/($B19-$B$3+1))</f>
        <v>3247.9542848514448</v>
      </c>
      <c r="AH19" s="22">
        <f>SUM(AF$3:AF19)/1000</f>
        <v>55.21522284247456</v>
      </c>
      <c r="AI19" s="20">
        <v>2556.0965148959708</v>
      </c>
      <c r="AJ19" s="20">
        <f>(SUM(AI$3:AI19)/($B19-$B$3+1))</f>
        <v>2547.2309501120308</v>
      </c>
      <c r="AK19" s="21">
        <f>SUM(AI$3:AI19)/1000</f>
        <v>43.302926151904522</v>
      </c>
      <c r="AL19" s="23">
        <f t="shared" si="21"/>
        <v>3.3946425275502712</v>
      </c>
      <c r="AM19" s="23">
        <f t="shared" si="22"/>
        <v>3.579009325979174</v>
      </c>
      <c r="AN19" s="24">
        <f t="shared" si="10"/>
        <v>1.1411720940137406</v>
      </c>
      <c r="AO19" s="24">
        <f t="shared" si="11"/>
        <v>1.2031504153604513</v>
      </c>
      <c r="AP19" s="24">
        <f t="shared" si="25"/>
        <v>1.1721612546870959</v>
      </c>
      <c r="AQ19" s="24">
        <f>(SUM(AP$3:AP19)/($B19-$B$3+1))</f>
        <v>1.2374271302226025</v>
      </c>
      <c r="AR19" s="21">
        <f t="shared" ref="AR19:AS82" si="28">AN19*10*K19</f>
        <v>17.430589946035049</v>
      </c>
      <c r="AS19" s="21">
        <f t="shared" si="28"/>
        <v>17.868400739910864</v>
      </c>
      <c r="AT19" s="21">
        <f t="shared" si="26"/>
        <v>17.649495342972955</v>
      </c>
      <c r="AU19" s="21">
        <f>(SUM(AT$3:AT19)/($B19-$B$3+1))</f>
        <v>15.72869360764134</v>
      </c>
      <c r="AV19" s="22">
        <f>SUM(AT$3:AT19)/1000</f>
        <v>0.26738779132990276</v>
      </c>
    </row>
    <row r="20" spans="1:48" ht="15.6">
      <c r="A20" s="17" t="s">
        <v>63</v>
      </c>
      <c r="B20" s="17">
        <v>77</v>
      </c>
      <c r="C20" s="18">
        <f t="shared" si="0"/>
        <v>34.955584512159476</v>
      </c>
      <c r="D20" s="18">
        <f t="shared" si="1"/>
        <v>34.331279675647657</v>
      </c>
      <c r="E20" s="18">
        <f t="shared" si="13"/>
        <v>34.64343209390357</v>
      </c>
      <c r="F20" s="19">
        <f t="shared" si="23"/>
        <v>0.85779497257656345</v>
      </c>
      <c r="G20" s="19">
        <f t="shared" si="23"/>
        <v>0.79438641177690528</v>
      </c>
      <c r="H20" s="19">
        <f t="shared" si="14"/>
        <v>0.82609069217673436</v>
      </c>
      <c r="I20" s="19">
        <f>(SUM(H$3:H20)/($B20-$B$3+1))</f>
        <v>0.7573330666427458</v>
      </c>
      <c r="J20" s="19"/>
      <c r="K20" s="19">
        <f t="shared" si="15"/>
        <v>1.562413754170938</v>
      </c>
      <c r="L20" s="19">
        <f t="shared" si="16"/>
        <v>1.5068527029477157</v>
      </c>
      <c r="M20" s="19">
        <f t="shared" si="17"/>
        <v>1.5346332285593269</v>
      </c>
      <c r="N20" s="19">
        <f>(SUM(M$3:M20)/($B20-$B$3+1))</f>
        <v>1.2892330558468352</v>
      </c>
      <c r="O20" s="19">
        <f t="shared" si="2"/>
        <v>1.8214302999210956</v>
      </c>
      <c r="P20" s="19">
        <f t="shared" si="3"/>
        <v>1.8968762312753391</v>
      </c>
      <c r="Q20" s="19">
        <f t="shared" si="18"/>
        <v>1.8591532655982173</v>
      </c>
      <c r="R20" s="19">
        <f>(SUM(Q$3:Q20)/($B20-$B$3+1))</f>
        <v>1.6994233036955766</v>
      </c>
      <c r="S20" s="19">
        <f t="shared" si="4"/>
        <v>6.1935196459188191</v>
      </c>
      <c r="T20" s="19">
        <f t="shared" si="5"/>
        <v>6.3067105235964203</v>
      </c>
      <c r="U20" s="19">
        <f t="shared" si="24"/>
        <v>6.2501150847576197</v>
      </c>
      <c r="V20" s="19">
        <f>(SUM(U$3:U20)/($B20-$B$3+1))</f>
        <v>5.6924525527328633</v>
      </c>
      <c r="W20" s="18">
        <f t="shared" si="19"/>
        <v>5.3127700148233403</v>
      </c>
      <c r="X20" s="18">
        <f t="shared" si="20"/>
        <v>5.0099651429554077</v>
      </c>
      <c r="Y20" s="20">
        <f t="shared" si="6"/>
        <v>5161.3675788893743</v>
      </c>
      <c r="Z20" s="20">
        <f>(SUM(Y$3:Y20)/($B20-$B$3+1))</f>
        <v>4321.0238883206803</v>
      </c>
      <c r="AA20" s="21">
        <f>SUM(Y$3:Y20)/1000</f>
        <v>77.778429989772249</v>
      </c>
      <c r="AB20" s="20">
        <f t="shared" si="7"/>
        <v>3363.258062471858</v>
      </c>
      <c r="AC20" s="20">
        <f>(SUM(AB$3:AB20)/($B20-$B$3+1))</f>
        <v>3350.7610591816688</v>
      </c>
      <c r="AD20" s="18">
        <f t="shared" si="27"/>
        <v>3.9955484229287355</v>
      </c>
      <c r="AE20" s="18">
        <f t="shared" si="27"/>
        <v>3.8534625829912814</v>
      </c>
      <c r="AF20" s="20">
        <f t="shared" si="9"/>
        <v>3924.5055029600085</v>
      </c>
      <c r="AG20" s="20">
        <f>(SUM(AF$3:AF20)/($B20-$B$3+1))</f>
        <v>3285.5404636352541</v>
      </c>
      <c r="AH20" s="22">
        <f>SUM(AF$3:AF20)/1000</f>
        <v>59.139728345434577</v>
      </c>
      <c r="AI20" s="20">
        <v>2557.2921463744342</v>
      </c>
      <c r="AJ20" s="20">
        <f>(SUM(AI$3:AI20)/($B20-$B$3+1))</f>
        <v>2547.789905459942</v>
      </c>
      <c r="AK20" s="21">
        <f>SUM(AI$3:AI20)/1000</f>
        <v>45.860218298278959</v>
      </c>
      <c r="AL20" s="23">
        <f t="shared" si="21"/>
        <v>3.3691030306381089</v>
      </c>
      <c r="AM20" s="23">
        <f t="shared" si="22"/>
        <v>3.5520627417985322</v>
      </c>
      <c r="AN20" s="24">
        <f t="shared" si="10"/>
        <v>1.1331162931091989</v>
      </c>
      <c r="AO20" s="24">
        <f t="shared" si="11"/>
        <v>1.1946503654759808</v>
      </c>
      <c r="AP20" s="24">
        <f t="shared" si="25"/>
        <v>1.1638833292925899</v>
      </c>
      <c r="AQ20" s="24">
        <f>(SUM(AP$3:AP20)/($B20-$B$3+1))</f>
        <v>1.2333413635042685</v>
      </c>
      <c r="AR20" s="21">
        <f t="shared" si="28"/>
        <v>17.703964814290003</v>
      </c>
      <c r="AS20" s="21">
        <f t="shared" si="28"/>
        <v>18.001621322949582</v>
      </c>
      <c r="AT20" s="21">
        <f t="shared" si="26"/>
        <v>17.852793068619793</v>
      </c>
      <c r="AU20" s="21">
        <f>(SUM(AT$3:AT20)/($B20-$B$3+1))</f>
        <v>15.846699133251255</v>
      </c>
      <c r="AV20" s="22">
        <f>SUM(AT$3:AT20)/1000</f>
        <v>0.28524058439852257</v>
      </c>
    </row>
    <row r="21" spans="1:48" ht="15.6">
      <c r="A21" s="17" t="s">
        <v>63</v>
      </c>
      <c r="B21" s="17">
        <v>78</v>
      </c>
      <c r="C21" s="18">
        <f t="shared" si="0"/>
        <v>35.813379484736039</v>
      </c>
      <c r="D21" s="18">
        <f t="shared" si="1"/>
        <v>35.125666087424563</v>
      </c>
      <c r="E21" s="18">
        <f t="shared" si="13"/>
        <v>35.469522786080304</v>
      </c>
      <c r="F21" s="19">
        <f t="shared" si="23"/>
        <v>0.86563916880763259</v>
      </c>
      <c r="G21" s="19">
        <f t="shared" si="23"/>
        <v>0.80080263456343914</v>
      </c>
      <c r="H21" s="19">
        <f t="shared" si="14"/>
        <v>0.83322090168553586</v>
      </c>
      <c r="I21" s="19">
        <f>(SUM(H$3:H21)/($B21-$B$3+1))</f>
        <v>0.76132716322394522</v>
      </c>
      <c r="J21" s="19"/>
      <c r="K21" s="19">
        <f t="shared" si="15"/>
        <v>1.5972041445548886</v>
      </c>
      <c r="L21" s="19">
        <f t="shared" si="16"/>
        <v>1.5284036721144081</v>
      </c>
      <c r="M21" s="19">
        <f t="shared" si="17"/>
        <v>1.5628039083346483</v>
      </c>
      <c r="N21" s="19">
        <f>(SUM(M$3:M21)/($B21-$B$3+1))</f>
        <v>1.3036315217672465</v>
      </c>
      <c r="O21" s="19">
        <f t="shared" si="2"/>
        <v>1.8451153807595653</v>
      </c>
      <c r="P21" s="19">
        <f t="shared" si="3"/>
        <v>1.9085897150521034</v>
      </c>
      <c r="Q21" s="19">
        <f t="shared" si="18"/>
        <v>1.8768525479058344</v>
      </c>
      <c r="R21" s="19">
        <f>(SUM(Q$3:Q21)/($B21-$B$3+1))</f>
        <v>1.7087616849698009</v>
      </c>
      <c r="S21" s="19">
        <f t="shared" si="4"/>
        <v>6.2751031029986697</v>
      </c>
      <c r="T21" s="19">
        <f t="shared" si="5"/>
        <v>6.3501694885547764</v>
      </c>
      <c r="U21" s="19">
        <f t="shared" si="24"/>
        <v>6.3126362957767235</v>
      </c>
      <c r="V21" s="19">
        <f>(SUM(U$3:U21)/($B21-$B$3+1))</f>
        <v>5.725093802366751</v>
      </c>
      <c r="W21" s="18">
        <f t="shared" si="19"/>
        <v>5.4319750342619644</v>
      </c>
      <c r="X21" s="18">
        <f t="shared" si="20"/>
        <v>5.0852324563590319</v>
      </c>
      <c r="Y21" s="20">
        <f t="shared" si="6"/>
        <v>5258.6037453104982</v>
      </c>
      <c r="Z21" s="20">
        <f>(SUM(Y$3:Y21)/($B21-$B$3+1))</f>
        <v>4370.3701965833025</v>
      </c>
      <c r="AA21" s="21">
        <f>SUM(Y$3:Y21)/1000</f>
        <v>83.037033735082744</v>
      </c>
      <c r="AB21" s="20">
        <f t="shared" si="7"/>
        <v>3364.8519288092643</v>
      </c>
      <c r="AC21" s="20">
        <f>(SUM(AB$3:AB21)/($B21-$B$3+1))</f>
        <v>3351.5026838989106</v>
      </c>
      <c r="AD21" s="18">
        <f t="shared" si="27"/>
        <v>4.08645329019968</v>
      </c>
      <c r="AE21" s="18">
        <f t="shared" si="27"/>
        <v>3.9104270020572547</v>
      </c>
      <c r="AF21" s="20">
        <f t="shared" si="9"/>
        <v>3998.4401461284669</v>
      </c>
      <c r="AG21" s="20">
        <f>(SUM(AF$3:AF21)/($B21-$B$3+1))</f>
        <v>3323.0614995559495</v>
      </c>
      <c r="AH21" s="22">
        <f>SUM(AF$3:AF21)/1000</f>
        <v>63.138168491563036</v>
      </c>
      <c r="AI21" s="20">
        <v>2558.5040610688493</v>
      </c>
      <c r="AJ21" s="20">
        <f>(SUM(AI$3:AI21)/($B21-$B$3+1))</f>
        <v>2548.353808386727</v>
      </c>
      <c r="AK21" s="21">
        <f>SUM(AI$3:AI21)/1000</f>
        <v>48.418722359347811</v>
      </c>
      <c r="AL21" s="23">
        <f t="shared" si="21"/>
        <v>3.3435362412822967</v>
      </c>
      <c r="AM21" s="23">
        <f t="shared" si="22"/>
        <v>3.5251362615570434</v>
      </c>
      <c r="AN21" s="24">
        <f t="shared" si="10"/>
        <v>1.1250504370522414</v>
      </c>
      <c r="AO21" s="24">
        <f t="shared" si="11"/>
        <v>1.1861561549015698</v>
      </c>
      <c r="AP21" s="24">
        <f t="shared" si="25"/>
        <v>1.1556032959769056</v>
      </c>
      <c r="AQ21" s="24">
        <f>(SUM(AP$3:AP21)/($B21-$B$3+1))</f>
        <v>1.2292498862659862</v>
      </c>
      <c r="AR21" s="21">
        <f t="shared" si="28"/>
        <v>17.969352208931287</v>
      </c>
      <c r="AS21" s="21">
        <f t="shared" si="28"/>
        <v>18.129254228526658</v>
      </c>
      <c r="AT21" s="21">
        <f t="shared" si="26"/>
        <v>18.049303218728973</v>
      </c>
      <c r="AU21" s="21">
        <f>(SUM(AT$3:AT21)/($B21-$B$3+1))</f>
        <v>15.962625664065872</v>
      </c>
      <c r="AV21" s="22">
        <f>SUM(AT$3:AT21)/1000</f>
        <v>0.30328988761725156</v>
      </c>
    </row>
    <row r="22" spans="1:48" ht="15.6">
      <c r="A22" s="17" t="s">
        <v>63</v>
      </c>
      <c r="B22" s="17">
        <v>79</v>
      </c>
      <c r="C22" s="18">
        <f t="shared" si="0"/>
        <v>36.679018653543672</v>
      </c>
      <c r="D22" s="18">
        <f t="shared" si="1"/>
        <v>35.926468721988002</v>
      </c>
      <c r="E22" s="18">
        <f t="shared" si="13"/>
        <v>36.30274368776584</v>
      </c>
      <c r="F22" s="19">
        <f t="shared" si="23"/>
        <v>0.87331204855045996</v>
      </c>
      <c r="G22" s="19">
        <f t="shared" si="23"/>
        <v>0.80707845736727535</v>
      </c>
      <c r="H22" s="19">
        <f t="shared" si="14"/>
        <v>0.84019525295886766</v>
      </c>
      <c r="I22" s="19">
        <f>(SUM(H$3:H22)/($B22-$B$3+1))</f>
        <v>0.76527056771069135</v>
      </c>
      <c r="J22" s="19"/>
      <c r="K22" s="19">
        <f t="shared" si="15"/>
        <v>1.6317730834315061</v>
      </c>
      <c r="L22" s="19">
        <f t="shared" si="16"/>
        <v>1.5497827336045249</v>
      </c>
      <c r="M22" s="19">
        <f t="shared" si="17"/>
        <v>1.5907779085180156</v>
      </c>
      <c r="N22" s="19">
        <f>(SUM(M$3:M22)/($B22-$B$3+1))</f>
        <v>1.3179888411047849</v>
      </c>
      <c r="O22" s="19">
        <f t="shared" si="2"/>
        <v>1.8684880005262199</v>
      </c>
      <c r="P22" s="19">
        <f t="shared" si="3"/>
        <v>1.9202380133648751</v>
      </c>
      <c r="Q22" s="19">
        <f t="shared" si="18"/>
        <v>1.8943630069455475</v>
      </c>
      <c r="R22" s="19">
        <f>(SUM(Q$3:Q22)/($B22-$B$3+1))</f>
        <v>1.7180417510685881</v>
      </c>
      <c r="S22" s="19">
        <f t="shared" si="4"/>
        <v>6.3558128225938058</v>
      </c>
      <c r="T22" s="19">
        <f t="shared" si="5"/>
        <v>6.3934250224331519</v>
      </c>
      <c r="U22" s="19">
        <f t="shared" si="24"/>
        <v>6.3746189225134788</v>
      </c>
      <c r="V22" s="19">
        <f>(SUM(U$3:U22)/($B22-$B$3+1))</f>
        <v>5.7575700583740872</v>
      </c>
      <c r="W22" s="18">
        <f t="shared" si="19"/>
        <v>5.5506079163026776</v>
      </c>
      <c r="X22" s="18">
        <f t="shared" si="20"/>
        <v>5.1599956043986861</v>
      </c>
      <c r="Y22" s="20">
        <f t="shared" si="6"/>
        <v>5355.3017603506814</v>
      </c>
      <c r="Z22" s="20">
        <f>(SUM(Y$3:Y22)/($B22-$B$3+1))</f>
        <v>4419.6167747716709</v>
      </c>
      <c r="AA22" s="21">
        <f>SUM(Y$3:Y22)/1000</f>
        <v>88.392335495433414</v>
      </c>
      <c r="AB22" s="20">
        <f t="shared" si="7"/>
        <v>3366.4672684194697</v>
      </c>
      <c r="AC22" s="20">
        <f>(SUM(AB$3:AB22)/($B22-$B$3+1))</f>
        <v>3352.250913124939</v>
      </c>
      <c r="AD22" s="18">
        <f t="shared" si="27"/>
        <v>4.1769022731754957</v>
      </c>
      <c r="AE22" s="18">
        <f t="shared" si="27"/>
        <v>3.9670289261715181</v>
      </c>
      <c r="AF22" s="20">
        <f t="shared" si="9"/>
        <v>4071.9655996735069</v>
      </c>
      <c r="AG22" s="20">
        <f>(SUM(AF$3:AF22)/($B22-$B$3+1))</f>
        <v>3360.5067045618271</v>
      </c>
      <c r="AH22" s="22">
        <f>SUM(AF$3:AF22)/1000</f>
        <v>67.21013409123654</v>
      </c>
      <c r="AI22" s="20">
        <v>2559.7323032144636</v>
      </c>
      <c r="AJ22" s="20">
        <f>(SUM(AI$3:AI22)/($B22-$B$3+1))</f>
        <v>2548.9227331281136</v>
      </c>
      <c r="AK22" s="21">
        <f>SUM(AI$3:AI22)/1000</f>
        <v>50.978454662562278</v>
      </c>
      <c r="AL22" s="23">
        <f t="shared" si="21"/>
        <v>3.3179531847174712</v>
      </c>
      <c r="AM22" s="23">
        <f t="shared" si="22"/>
        <v>3.4982406483661794</v>
      </c>
      <c r="AN22" s="24">
        <f t="shared" si="10"/>
        <v>1.1169780794499506</v>
      </c>
      <c r="AO22" s="24">
        <f t="shared" si="11"/>
        <v>1.1776712639779248</v>
      </c>
      <c r="AP22" s="24">
        <f t="shared" si="25"/>
        <v>1.1473246717139376</v>
      </c>
      <c r="AQ22" s="24">
        <f>(SUM(AP$3:AP22)/($B22-$B$3+1))</f>
        <v>1.2251536255383839</v>
      </c>
      <c r="AR22" s="21">
        <f t="shared" si="28"/>
        <v>18.226547648294474</v>
      </c>
      <c r="AS22" s="21">
        <f t="shared" si="28"/>
        <v>18.251345907752043</v>
      </c>
      <c r="AT22" s="21">
        <f t="shared" si="26"/>
        <v>18.238946778023259</v>
      </c>
      <c r="AU22" s="21">
        <f>(SUM(AT$3:AT22)/($B22-$B$3+1))</f>
        <v>16.076441719763743</v>
      </c>
      <c r="AV22" s="22">
        <f>SUM(AT$3:AT22)/1000</f>
        <v>0.32152883439527485</v>
      </c>
    </row>
    <row r="23" spans="1:48" ht="15.6">
      <c r="A23" s="17" t="s">
        <v>63</v>
      </c>
      <c r="B23" s="17">
        <v>80</v>
      </c>
      <c r="C23" s="18">
        <f t="shared" si="0"/>
        <v>37.552330702094132</v>
      </c>
      <c r="D23" s="18">
        <f t="shared" si="1"/>
        <v>36.733547179355277</v>
      </c>
      <c r="E23" s="18">
        <f t="shared" si="13"/>
        <v>37.142938940724704</v>
      </c>
      <c r="F23" s="19">
        <f t="shared" si="23"/>
        <v>0.88081267539061514</v>
      </c>
      <c r="G23" s="19">
        <f t="shared" si="23"/>
        <v>0.81321376321826477</v>
      </c>
      <c r="H23" s="19">
        <f t="shared" si="14"/>
        <v>0.84701321930443996</v>
      </c>
      <c r="I23" s="19">
        <f>(SUM(H$3:H23)/($B23-$B$3+1))</f>
        <v>0.76916307492944136</v>
      </c>
      <c r="J23" s="19"/>
      <c r="K23" s="19">
        <f t="shared" si="15"/>
        <v>1.6660946872178726</v>
      </c>
      <c r="L23" s="19">
        <f t="shared" si="16"/>
        <v>1.5709855790167182</v>
      </c>
      <c r="M23" s="19">
        <f t="shared" si="17"/>
        <v>1.6185401331172953</v>
      </c>
      <c r="N23" s="19">
        <f>(SUM(M$3:M23)/($B23-$B$3+1))</f>
        <v>1.3323008073910949</v>
      </c>
      <c r="O23" s="19">
        <f t="shared" si="2"/>
        <v>1.8915425876211505</v>
      </c>
      <c r="P23" s="19">
        <f t="shared" si="3"/>
        <v>1.9318236484335904</v>
      </c>
      <c r="Q23" s="19">
        <f t="shared" si="18"/>
        <v>1.9116831180273706</v>
      </c>
      <c r="R23" s="19">
        <f>(SUM(Q$3:Q23)/($B23-$B$3+1))</f>
        <v>1.7272627685428159</v>
      </c>
      <c r="S23" s="19">
        <f t="shared" si="4"/>
        <v>6.4356310437054347</v>
      </c>
      <c r="T23" s="19">
        <f t="shared" si="5"/>
        <v>6.4364844577774081</v>
      </c>
      <c r="U23" s="19">
        <f t="shared" si="24"/>
        <v>6.4360577507414209</v>
      </c>
      <c r="V23" s="19">
        <f>(SUM(U$3:U23)/($B23-$B$3+1))</f>
        <v>5.7898789961058652</v>
      </c>
      <c r="W23" s="18">
        <f t="shared" si="19"/>
        <v>5.6685853974330804</v>
      </c>
      <c r="X23" s="18">
        <f t="shared" si="20"/>
        <v>5.2342377478050386</v>
      </c>
      <c r="Y23" s="20">
        <f t="shared" si="6"/>
        <v>5451.4115726190603</v>
      </c>
      <c r="Z23" s="20">
        <f>(SUM(Y$3:Y23)/($B23-$B$3+1))</f>
        <v>4468.749860383452</v>
      </c>
      <c r="AA23" s="21">
        <f>SUM(Y$3:Y23)/1000</f>
        <v>93.84374706805248</v>
      </c>
      <c r="AB23" s="20">
        <f t="shared" si="7"/>
        <v>3368.104047021488</v>
      </c>
      <c r="AC23" s="20">
        <f>(SUM(AB$3:AB23)/($B23-$B$3+1))</f>
        <v>3353.0058242628702</v>
      </c>
      <c r="AD23" s="18">
        <f t="shared" si="27"/>
        <v>4.2668299184503793</v>
      </c>
      <c r="AE23" s="18">
        <f t="shared" si="27"/>
        <v>4.0232576944326262</v>
      </c>
      <c r="AF23" s="20">
        <f t="shared" si="9"/>
        <v>4145.043806441503</v>
      </c>
      <c r="AG23" s="20">
        <f>(SUM(AF$3:AF23)/($B23-$B$3+1))</f>
        <v>3397.8656141751453</v>
      </c>
      <c r="AH23" s="22">
        <f>SUM(AF$3:AF23)/1000</f>
        <v>71.355177897678047</v>
      </c>
      <c r="AI23" s="20">
        <v>2560.9768467453332</v>
      </c>
      <c r="AJ23" s="20">
        <f>(SUM(AI$3:AI23)/($B23-$B$3+1))</f>
        <v>2549.4967385384575</v>
      </c>
      <c r="AK23" s="21">
        <f>SUM(AI$3:AI23)/1000</f>
        <v>53.539431509307605</v>
      </c>
      <c r="AL23" s="23">
        <f t="shared" si="21"/>
        <v>3.2923647993072578</v>
      </c>
      <c r="AM23" s="23">
        <f t="shared" si="22"/>
        <v>3.4713865453067858</v>
      </c>
      <c r="AN23" s="24">
        <f t="shared" si="10"/>
        <v>1.1089027204817863</v>
      </c>
      <c r="AO23" s="24">
        <f t="shared" si="11"/>
        <v>1.1691991072023726</v>
      </c>
      <c r="AP23" s="24">
        <f t="shared" si="25"/>
        <v>1.1390509138420795</v>
      </c>
      <c r="AQ23" s="24">
        <f>(SUM(AP$3:AP23)/($B23-$B$3+1))</f>
        <v>1.2210534964099884</v>
      </c>
      <c r="AR23" s="21">
        <f t="shared" si="28"/>
        <v>18.475369312361497</v>
      </c>
      <c r="AS23" s="21">
        <f t="shared" si="28"/>
        <v>18.367949364141491</v>
      </c>
      <c r="AT23" s="21">
        <f t="shared" si="26"/>
        <v>18.421659338251494</v>
      </c>
      <c r="AU23" s="21">
        <f>(SUM(AT$3:AT23)/($B23-$B$3+1))</f>
        <v>16.188118749215541</v>
      </c>
      <c r="AV23" s="22">
        <f>SUM(AT$3:AT23)/1000</f>
        <v>0.33995049373352637</v>
      </c>
    </row>
    <row r="24" spans="1:48" ht="15.6">
      <c r="A24" s="17" t="s">
        <v>63</v>
      </c>
      <c r="B24" s="17">
        <v>81</v>
      </c>
      <c r="C24" s="18">
        <f t="shared" si="0"/>
        <v>38.433143377484747</v>
      </c>
      <c r="D24" s="18">
        <f t="shared" si="1"/>
        <v>37.546760942573542</v>
      </c>
      <c r="E24" s="18">
        <f t="shared" si="13"/>
        <v>37.989952160029148</v>
      </c>
      <c r="F24" s="19">
        <f t="shared" si="23"/>
        <v>0.88814021885870176</v>
      </c>
      <c r="G24" s="19">
        <f t="shared" si="23"/>
        <v>0.81920849494293435</v>
      </c>
      <c r="H24" s="19">
        <f t="shared" si="14"/>
        <v>0.85367435690081805</v>
      </c>
      <c r="I24" s="19">
        <f>(SUM(H$3:H24)/($B24-$B$3+1))</f>
        <v>0.77300449683723116</v>
      </c>
      <c r="J24" s="19"/>
      <c r="K24" s="19">
        <f t="shared" si="15"/>
        <v>1.7001440100595058</v>
      </c>
      <c r="L24" s="19">
        <f t="shared" si="16"/>
        <v>1.592008163139119</v>
      </c>
      <c r="M24" s="19">
        <f t="shared" si="17"/>
        <v>1.6460760865993125</v>
      </c>
      <c r="N24" s="19">
        <f>(SUM(M$3:M24)/($B24-$B$3+1))</f>
        <v>1.3465633200823774</v>
      </c>
      <c r="O24" s="19">
        <f t="shared" si="2"/>
        <v>1.9142743161032203</v>
      </c>
      <c r="P24" s="19">
        <f t="shared" si="3"/>
        <v>1.9433491876204452</v>
      </c>
      <c r="Q24" s="19">
        <f t="shared" si="18"/>
        <v>1.9288117518618328</v>
      </c>
      <c r="R24" s="19">
        <f>(SUM(Q$3:Q24)/($B24-$B$3+1))</f>
        <v>1.7364240859664077</v>
      </c>
      <c r="S24" s="19">
        <f t="shared" si="4"/>
        <v>6.5145420975534876</v>
      </c>
      <c r="T24" s="19">
        <f t="shared" si="5"/>
        <v>6.4793553117393294</v>
      </c>
      <c r="U24" s="19">
        <f t="shared" si="24"/>
        <v>6.4969487046464085</v>
      </c>
      <c r="V24" s="19">
        <f>(SUM(U$3:U24)/($B24-$B$3+1))</f>
        <v>5.8220185283122534</v>
      </c>
      <c r="W24" s="18">
        <f t="shared" si="19"/>
        <v>5.7858268442853804</v>
      </c>
      <c r="X24" s="18">
        <f t="shared" si="20"/>
        <v>5.3079429131304829</v>
      </c>
      <c r="Y24" s="20">
        <f t="shared" si="6"/>
        <v>5546.8848787079314</v>
      </c>
      <c r="Z24" s="20">
        <f>(SUM(Y$3:Y24)/($B24-$B$3+1))</f>
        <v>4517.7559975800186</v>
      </c>
      <c r="AA24" s="21">
        <f>SUM(Y$3:Y24)/1000</f>
        <v>99.390631946760422</v>
      </c>
      <c r="AB24" s="20">
        <f t="shared" si="7"/>
        <v>3369.7621415346844</v>
      </c>
      <c r="AC24" s="20">
        <f>(SUM(AB$3:AB24)/($B24-$B$3+1))</f>
        <v>3353.7674750479523</v>
      </c>
      <c r="AD24" s="18">
        <f t="shared" si="27"/>
        <v>4.3561729047176136</v>
      </c>
      <c r="AE24" s="18">
        <f t="shared" si="27"/>
        <v>4.0791031720384439</v>
      </c>
      <c r="AF24" s="20">
        <f t="shared" si="9"/>
        <v>4217.6380383780288</v>
      </c>
      <c r="AG24" s="20">
        <f>(SUM(AF$3:AF24)/($B24-$B$3+1))</f>
        <v>3435.1279970934584</v>
      </c>
      <c r="AH24" s="22">
        <f>SUM(AF$3:AF24)/1000</f>
        <v>75.572815936056088</v>
      </c>
      <c r="AI24" s="20">
        <v>2562.2375980756751</v>
      </c>
      <c r="AJ24" s="20">
        <f>(SUM(AI$3:AI24)/($B24-$B$3+1))</f>
        <v>2550.0758685174219</v>
      </c>
      <c r="AK24" s="21">
        <f>SUM(AI$3:AI24)/1000</f>
        <v>56.101669107383287</v>
      </c>
      <c r="AL24" s="23">
        <f t="shared" si="21"/>
        <v>3.2667819282528381</v>
      </c>
      <c r="AM24" s="23">
        <f t="shared" si="22"/>
        <v>3.4445844696937704</v>
      </c>
      <c r="AN24" s="24">
        <f t="shared" si="10"/>
        <v>1.1008278066476089</v>
      </c>
      <c r="AO24" s="24">
        <f t="shared" si="11"/>
        <v>1.1607430339292395</v>
      </c>
      <c r="AP24" s="24">
        <f t="shared" si="25"/>
        <v>1.1307854202884242</v>
      </c>
      <c r="AQ24" s="24">
        <f>(SUM(AP$3:AP24)/($B24-$B$3+1))</f>
        <v>1.2169504020408264</v>
      </c>
      <c r="AR24" s="21">
        <f t="shared" si="28"/>
        <v>18.715658015788762</v>
      </c>
      <c r="AS24" s="21">
        <f t="shared" si="28"/>
        <v>18.479123853222166</v>
      </c>
      <c r="AT24" s="21">
        <f t="shared" si="26"/>
        <v>18.597390934505462</v>
      </c>
      <c r="AU24" s="21">
        <f>(SUM(AT$3:AT24)/($B24-$B$3+1))</f>
        <v>16.297631121274176</v>
      </c>
      <c r="AV24" s="22">
        <f>SUM(AT$3:AT24)/1000</f>
        <v>0.35854788466803184</v>
      </c>
    </row>
    <row r="25" spans="1:48" ht="15.6">
      <c r="A25" s="17" t="s">
        <v>63</v>
      </c>
      <c r="B25" s="17">
        <v>82</v>
      </c>
      <c r="C25" s="18">
        <f t="shared" si="0"/>
        <v>39.321283596343449</v>
      </c>
      <c r="D25" s="18">
        <f t="shared" si="1"/>
        <v>38.365969437516476</v>
      </c>
      <c r="E25" s="18">
        <f t="shared" si="13"/>
        <v>38.843626516929959</v>
      </c>
      <c r="F25" s="19">
        <f t="shared" si="23"/>
        <v>0.89529395315140192</v>
      </c>
      <c r="G25" s="19">
        <f t="shared" si="23"/>
        <v>0.82506265413775282</v>
      </c>
      <c r="H25" s="19">
        <f t="shared" si="14"/>
        <v>0.86017830364457737</v>
      </c>
      <c r="I25" s="19">
        <f>(SUM(H$3:H25)/($B25-$B$3+1))</f>
        <v>0.77679466235059402</v>
      </c>
      <c r="J25" s="19"/>
      <c r="K25" s="19">
        <f t="shared" si="15"/>
        <v>1.7338970846350248</v>
      </c>
      <c r="L25" s="19">
        <f t="shared" si="16"/>
        <v>1.6128466983788505</v>
      </c>
      <c r="M25" s="19">
        <f t="shared" si="17"/>
        <v>1.6733718915069375</v>
      </c>
      <c r="N25" s="19">
        <f>(SUM(M$3:M25)/($B25-$B$3+1))</f>
        <v>1.3607723884051846</v>
      </c>
      <c r="O25" s="19">
        <f t="shared" si="2"/>
        <v>1.9366790968840688</v>
      </c>
      <c r="P25" s="19">
        <f t="shared" si="3"/>
        <v>1.9548172375640807</v>
      </c>
      <c r="Q25" s="19">
        <f t="shared" si="18"/>
        <v>1.9457481672240746</v>
      </c>
      <c r="R25" s="19">
        <f>(SUM(Q$3:Q25)/($B25-$B$3+1))</f>
        <v>1.7455251329776105</v>
      </c>
      <c r="S25" s="19">
        <f t="shared" si="4"/>
        <v>6.5925323835768372</v>
      </c>
      <c r="T25" s="19">
        <f t="shared" si="5"/>
        <v>6.5220452668561251</v>
      </c>
      <c r="U25" s="19">
        <f t="shared" si="24"/>
        <v>6.5572888252164816</v>
      </c>
      <c r="V25" s="19">
        <f>(SUM(U$3:U25)/($B25-$B$3+1))</f>
        <v>5.8539868020906987</v>
      </c>
      <c r="W25" s="18">
        <f t="shared" si="19"/>
        <v>5.9022543789711408</v>
      </c>
      <c r="X25" s="18">
        <f t="shared" si="20"/>
        <v>5.381095978278883</v>
      </c>
      <c r="Y25" s="20">
        <f t="shared" si="6"/>
        <v>5641.6751786250115</v>
      </c>
      <c r="Z25" s="20">
        <f>(SUM(Y$3:Y25)/($B25-$B$3+1))</f>
        <v>4566.6220489298012</v>
      </c>
      <c r="AA25" s="21">
        <f>SUM(Y$3:Y25)/1000</f>
        <v>105.03230712538543</v>
      </c>
      <c r="AB25" s="20">
        <f t="shared" si="7"/>
        <v>3371.4413438273186</v>
      </c>
      <c r="AC25" s="20">
        <f>(SUM(AB$3:AB25)/($B25-$B$3+1))</f>
        <v>3354.5359041253164</v>
      </c>
      <c r="AD25" s="18">
        <f t="shared" si="27"/>
        <v>4.4448701427595108</v>
      </c>
      <c r="AE25" s="18">
        <f t="shared" si="27"/>
        <v>4.1345557345933353</v>
      </c>
      <c r="AF25" s="20">
        <f t="shared" si="9"/>
        <v>4289.7129386764236</v>
      </c>
      <c r="AG25" s="20">
        <f>(SUM(AF$3:AF25)/($B25-$B$3+1))</f>
        <v>3472.283864118805</v>
      </c>
      <c r="AH25" s="22">
        <f>SUM(AF$3:AF25)/1000</f>
        <v>79.862528874732504</v>
      </c>
      <c r="AI25" s="20">
        <v>2563.5143989501139</v>
      </c>
      <c r="AJ25" s="20">
        <f>(SUM(AI$3:AI25)/($B25-$B$3+1))</f>
        <v>2550.6601524492785</v>
      </c>
      <c r="AK25" s="21">
        <f>SUM(AI$3:AI25)/1000</f>
        <v>58.665183506333399</v>
      </c>
      <c r="AL25" s="23">
        <f t="shared" si="21"/>
        <v>3.2412153115536606</v>
      </c>
      <c r="AM25" s="23">
        <f t="shared" si="22"/>
        <v>3.4178448075597716</v>
      </c>
      <c r="AN25" s="24">
        <f t="shared" si="10"/>
        <v>1.0927567305618155</v>
      </c>
      <c r="AO25" s="24">
        <f t="shared" si="11"/>
        <v>1.1523063290992539</v>
      </c>
      <c r="AP25" s="24">
        <f t="shared" si="25"/>
        <v>1.1225315298305347</v>
      </c>
      <c r="AQ25" s="24">
        <f>(SUM(AP$3:AP25)/($B25-$B$3+1))</f>
        <v>1.2128452336838573</v>
      </c>
      <c r="AR25" s="21">
        <f t="shared" si="28"/>
        <v>18.947277093364331</v>
      </c>
      <c r="AS25" s="21">
        <f t="shared" si="28"/>
        <v>18.584934584087847</v>
      </c>
      <c r="AT25" s="21">
        <f t="shared" si="26"/>
        <v>18.766105838726091</v>
      </c>
      <c r="AU25" s="21">
        <f>(SUM(AT$3:AT25)/($B25-$B$3+1))</f>
        <v>16.404956108989474</v>
      </c>
      <c r="AV25" s="22">
        <f>SUM(AT$3:AT25)/1000</f>
        <v>0.37731399050675796</v>
      </c>
    </row>
    <row r="26" spans="1:48" ht="15.6">
      <c r="A26" s="17" t="s">
        <v>63</v>
      </c>
      <c r="B26" s="17">
        <v>83</v>
      </c>
      <c r="C26" s="18">
        <f t="shared" si="0"/>
        <v>40.216577549494851</v>
      </c>
      <c r="D26" s="18">
        <f t="shared" si="1"/>
        <v>39.191032091654229</v>
      </c>
      <c r="E26" s="18">
        <f t="shared" si="13"/>
        <v>39.70380482057454</v>
      </c>
      <c r="F26" s="19">
        <f t="shared" si="23"/>
        <v>0.90227325578174344</v>
      </c>
      <c r="G26" s="19">
        <f t="shared" si="23"/>
        <v>0.83077630011856485</v>
      </c>
      <c r="H26" s="19">
        <f t="shared" si="14"/>
        <v>0.86652477795015415</v>
      </c>
      <c r="I26" s="19">
        <f>(SUM(H$3:H26)/($B26-$B$3+1))</f>
        <v>0.78053341716724234</v>
      </c>
      <c r="J26" s="19"/>
      <c r="K26" s="19">
        <f t="shared" si="15"/>
        <v>1.7673309583630081</v>
      </c>
      <c r="L26" s="19">
        <f t="shared" si="16"/>
        <v>1.6334976490699604</v>
      </c>
      <c r="M26" s="19">
        <f t="shared" si="17"/>
        <v>1.7004143037164843</v>
      </c>
      <c r="N26" s="19">
        <f>(SUM(M$3:M26)/($B26-$B$3+1))</f>
        <v>1.3749241348764887</v>
      </c>
      <c r="O26" s="19">
        <f t="shared" si="2"/>
        <v>1.9587535672125906</v>
      </c>
      <c r="P26" s="19">
        <f t="shared" si="3"/>
        <v>1.9662304387316232</v>
      </c>
      <c r="Q26" s="19">
        <f t="shared" si="18"/>
        <v>1.9624920029721069</v>
      </c>
      <c r="R26" s="19">
        <f>(SUM(Q$3:Q26)/($B26-$B$3+1))</f>
        <v>1.7545654192273812</v>
      </c>
      <c r="S26" s="19">
        <f t="shared" si="4"/>
        <v>6.6695903413108226</v>
      </c>
      <c r="T26" s="19">
        <f t="shared" si="5"/>
        <v>6.5645621531237595</v>
      </c>
      <c r="U26" s="19">
        <f t="shared" si="24"/>
        <v>6.617076247217291</v>
      </c>
      <c r="V26" s="19">
        <f>(SUM(U$3:U26)/($B26-$B$3+1))</f>
        <v>5.8857821956376393</v>
      </c>
      <c r="W26" s="18">
        <f t="shared" si="19"/>
        <v>6.0177929919849857</v>
      </c>
      <c r="X26" s="18">
        <f t="shared" si="20"/>
        <v>5.4536826574705168</v>
      </c>
      <c r="Y26" s="20">
        <f t="shared" si="6"/>
        <v>5735.7378247277511</v>
      </c>
      <c r="Z26" s="20">
        <f>(SUM(Y$3:Y26)/($B26-$B$3+1))</f>
        <v>4615.3352062547156</v>
      </c>
      <c r="AA26" s="21">
        <f>SUM(Y$3:Y26)/1000</f>
        <v>110.76804495011318</v>
      </c>
      <c r="AB26" s="20">
        <f t="shared" si="7"/>
        <v>3373.1413645436432</v>
      </c>
      <c r="AC26" s="20">
        <f>(SUM(AB$3:AB26)/($B26-$B$3+1))</f>
        <v>3355.3111316427462</v>
      </c>
      <c r="AD26" s="18">
        <f t="shared" si="27"/>
        <v>4.5328628652037883</v>
      </c>
      <c r="AE26" s="18">
        <f t="shared" si="27"/>
        <v>4.1896062527673168</v>
      </c>
      <c r="AF26" s="20">
        <f t="shared" si="9"/>
        <v>4361.2345589855522</v>
      </c>
      <c r="AG26" s="20">
        <f>(SUM(AF$3:AF26)/($B26-$B$3+1))</f>
        <v>3509.3234764049193</v>
      </c>
      <c r="AH26" s="22">
        <f>SUM(AF$3:AF26)/1000</f>
        <v>84.223763433718062</v>
      </c>
      <c r="AI26" s="20">
        <v>2564.8070293536625</v>
      </c>
      <c r="AJ26" s="20">
        <f>(SUM(AI$3:AI26)/($B26-$B$3+1))</f>
        <v>2551.2496056536279</v>
      </c>
      <c r="AK26" s="21">
        <f>SUM(AI$3:AI26)/1000</f>
        <v>61.229990535687065</v>
      </c>
      <c r="AL26" s="23">
        <f t="shared" si="21"/>
        <v>3.2156755782266995</v>
      </c>
      <c r="AM26" s="23">
        <f t="shared" si="22"/>
        <v>3.3911778083596054</v>
      </c>
      <c r="AN26" s="24">
        <f t="shared" si="10"/>
        <v>1.0846928307869279</v>
      </c>
      <c r="AO26" s="24">
        <f t="shared" si="11"/>
        <v>1.1438922139900241</v>
      </c>
      <c r="AP26" s="24">
        <f t="shared" si="25"/>
        <v>1.1142925223884759</v>
      </c>
      <c r="AQ26" s="24">
        <f>(SUM(AP$3:AP26)/($B26-$B$3+1))</f>
        <v>1.2087388707132163</v>
      </c>
      <c r="AR26" s="21">
        <f t="shared" si="28"/>
        <v>19.170112201641455</v>
      </c>
      <c r="AS26" s="21">
        <f t="shared" si="28"/>
        <v>18.685452423421363</v>
      </c>
      <c r="AT26" s="21">
        <f t="shared" si="26"/>
        <v>18.927782312531409</v>
      </c>
      <c r="AU26" s="21">
        <f>(SUM(AT$3:AT26)/($B26-$B$3+1))</f>
        <v>16.510073867470389</v>
      </c>
      <c r="AV26" s="22">
        <f>SUM(AT$3:AT26)/1000</f>
        <v>0.39624177281928935</v>
      </c>
    </row>
    <row r="27" spans="1:48" ht="15.6">
      <c r="A27" s="17" t="s">
        <v>63</v>
      </c>
      <c r="B27" s="17">
        <v>84</v>
      </c>
      <c r="C27" s="18">
        <f t="shared" si="0"/>
        <v>41.118850805276594</v>
      </c>
      <c r="D27" s="18">
        <f t="shared" si="1"/>
        <v>40.021808391772794</v>
      </c>
      <c r="E27" s="18">
        <f t="shared" si="13"/>
        <v>40.570329598524694</v>
      </c>
      <c r="F27" s="19">
        <f t="shared" si="23"/>
        <v>0.90907760616071442</v>
      </c>
      <c r="G27" s="19">
        <f t="shared" si="23"/>
        <v>0.83634954884768575</v>
      </c>
      <c r="H27" s="19">
        <f t="shared" si="14"/>
        <v>0.87271357750420009</v>
      </c>
      <c r="I27" s="19">
        <f>(SUM(H$3:H27)/($B27-$B$3+1))</f>
        <v>0.78422062358072064</v>
      </c>
      <c r="J27" s="19"/>
      <c r="K27" s="19">
        <f t="shared" si="15"/>
        <v>1.8004237249969717</v>
      </c>
      <c r="L27" s="19">
        <f t="shared" si="16"/>
        <v>1.6539577256743148</v>
      </c>
      <c r="M27" s="19">
        <f t="shared" si="17"/>
        <v>1.7271907253356433</v>
      </c>
      <c r="N27" s="19">
        <f>(SUM(M$3:M27)/($B27-$B$3+1))</f>
        <v>1.3890147984948549</v>
      </c>
      <c r="O27" s="19">
        <f t="shared" si="2"/>
        <v>1.9804950785232274</v>
      </c>
      <c r="P27" s="19">
        <f t="shared" si="3"/>
        <v>1.9775914603566433</v>
      </c>
      <c r="Q27" s="19">
        <f t="shared" si="18"/>
        <v>1.9790432694399354</v>
      </c>
      <c r="R27" s="19">
        <f>(SUM(Q$3:Q27)/($B27-$B$3+1))</f>
        <v>1.7635445332358832</v>
      </c>
      <c r="S27" s="19">
        <f t="shared" si="4"/>
        <v>6.7457064183029507</v>
      </c>
      <c r="T27" s="19">
        <f t="shared" si="5"/>
        <v>6.6069139312657219</v>
      </c>
      <c r="U27" s="19">
        <f t="shared" si="24"/>
        <v>6.6763101747843363</v>
      </c>
      <c r="V27" s="19">
        <f>(SUM(U$3:U27)/($B27-$B$3+1))</f>
        <v>5.917403314803507</v>
      </c>
      <c r="W27" s="18">
        <f t="shared" si="19"/>
        <v>6.1323706426138136</v>
      </c>
      <c r="X27" s="18">
        <f t="shared" si="20"/>
        <v>5.5256894856895764</v>
      </c>
      <c r="Y27" s="20">
        <f t="shared" si="6"/>
        <v>5829.0300641516951</v>
      </c>
      <c r="Z27" s="20">
        <f>(SUM(Y$3:Y27)/($B27-$B$3+1))</f>
        <v>4663.883000570595</v>
      </c>
      <c r="AA27" s="21">
        <f>SUM(Y$3:Y27)/1000</f>
        <v>116.59707501426487</v>
      </c>
      <c r="AB27" s="20">
        <f t="shared" si="7"/>
        <v>3374.8618369977326</v>
      </c>
      <c r="AC27" s="20">
        <f>(SUM(AB$3:AB27)/($B27-$B$3+1))</f>
        <v>3356.0931598569459</v>
      </c>
      <c r="AD27" s="18">
        <f t="shared" si="27"/>
        <v>4.6200947060101756</v>
      </c>
      <c r="AE27" s="18">
        <f t="shared" si="27"/>
        <v>4.24424607733126</v>
      </c>
      <c r="AF27" s="20">
        <f t="shared" si="9"/>
        <v>4432.1703916707183</v>
      </c>
      <c r="AG27" s="20">
        <f>(SUM(AF$3:AF27)/($B27-$B$3+1))</f>
        <v>3546.2373530155514</v>
      </c>
      <c r="AH27" s="22">
        <f>SUM(AF$3:AF27)/1000</f>
        <v>88.655933825388786</v>
      </c>
      <c r="AI27" s="20">
        <v>2566.1152104724383</v>
      </c>
      <c r="AJ27" s="20">
        <f>(SUM(AI$3:AI27)/($B27-$B$3+1))</f>
        <v>2551.8442298463801</v>
      </c>
      <c r="AK27" s="21">
        <f>SUM(AI$3:AI27)/1000</f>
        <v>63.796105746159505</v>
      </c>
      <c r="AL27" s="23">
        <f t="shared" si="21"/>
        <v>3.1901732387901056</v>
      </c>
      <c r="AM27" s="23">
        <f t="shared" si="22"/>
        <v>3.3645935798969289</v>
      </c>
      <c r="AN27" s="24">
        <f t="shared" si="10"/>
        <v>1.0766393917004182</v>
      </c>
      <c r="AO27" s="24">
        <f t="shared" si="11"/>
        <v>1.1355038469801726</v>
      </c>
      <c r="AP27" s="24">
        <f t="shared" si="25"/>
        <v>1.1060716193402955</v>
      </c>
      <c r="AQ27" s="24">
        <f>(SUM(AP$3:AP27)/($B27-$B$3+1))</f>
        <v>1.2046321806582996</v>
      </c>
      <c r="AR27" s="21">
        <f t="shared" si="28"/>
        <v>19.384071040837405</v>
      </c>
      <c r="AS27" s="21">
        <f t="shared" si="28"/>
        <v>18.780753602457615</v>
      </c>
      <c r="AT27" s="21">
        <f t="shared" si="26"/>
        <v>19.08241232164751</v>
      </c>
      <c r="AU27" s="21">
        <f>(SUM(AT$3:AT27)/($B27-$B$3+1))</f>
        <v>16.612967405637473</v>
      </c>
      <c r="AV27" s="22">
        <f>SUM(AT$3:AT27)/1000</f>
        <v>0.41532418514093683</v>
      </c>
    </row>
    <row r="28" spans="1:48" ht="15.6">
      <c r="A28" s="17" t="s">
        <v>63</v>
      </c>
      <c r="B28" s="17">
        <v>85</v>
      </c>
      <c r="C28" s="18">
        <f t="shared" si="0"/>
        <v>42.027928411437308</v>
      </c>
      <c r="D28" s="18">
        <f t="shared" si="1"/>
        <v>40.85815794062048</v>
      </c>
      <c r="E28" s="18">
        <f t="shared" si="13"/>
        <v>41.443043176028894</v>
      </c>
      <c r="F28" s="19">
        <f t="shared" si="23"/>
        <v>0.91570658411276185</v>
      </c>
      <c r="G28" s="19">
        <f t="shared" si="23"/>
        <v>0.84178257183990723</v>
      </c>
      <c r="H28" s="19">
        <f t="shared" si="14"/>
        <v>0.87874457797633454</v>
      </c>
      <c r="I28" s="19">
        <f>(SUM(H$3:H28)/($B28-$B$3+1))</f>
        <v>0.78785616028824434</v>
      </c>
      <c r="J28" s="19"/>
      <c r="K28" s="19">
        <f t="shared" si="15"/>
        <v>1.8331545516202432</v>
      </c>
      <c r="L28" s="19">
        <f t="shared" si="16"/>
        <v>1.6742238788896693</v>
      </c>
      <c r="M28" s="19">
        <f t="shared" si="17"/>
        <v>1.7536892152549561</v>
      </c>
      <c r="N28" s="19">
        <f>(SUM(M$3:M28)/($B28-$B$3+1))</f>
        <v>1.4030407376010128</v>
      </c>
      <c r="O28" s="19">
        <f t="shared" si="2"/>
        <v>2.0019016827277776</v>
      </c>
      <c r="P28" s="19">
        <f t="shared" si="3"/>
        <v>1.9889029957347208</v>
      </c>
      <c r="Q28" s="19">
        <f t="shared" si="18"/>
        <v>1.9954023392312492</v>
      </c>
      <c r="R28" s="19">
        <f>(SUM(Q$3:Q28)/($B28-$B$3+1))</f>
        <v>1.772462141158782</v>
      </c>
      <c r="S28" s="19">
        <f t="shared" si="4"/>
        <v>6.8208730342429087</v>
      </c>
      <c r="T28" s="19">
        <f t="shared" si="5"/>
        <v>6.6491086771103234</v>
      </c>
      <c r="U28" s="19">
        <f t="shared" si="24"/>
        <v>6.7349908556766156</v>
      </c>
      <c r="V28" s="19">
        <f>(SUM(U$3:U28)/($B28-$B$3+1))</f>
        <v>5.9488489894524728</v>
      </c>
      <c r="W28" s="18">
        <f t="shared" si="19"/>
        <v>6.245918346853423</v>
      </c>
      <c r="X28" s="18">
        <f t="shared" si="20"/>
        <v>5.5971038026609712</v>
      </c>
      <c r="Y28" s="20">
        <f t="shared" si="6"/>
        <v>5921.5110747571962</v>
      </c>
      <c r="Z28" s="20">
        <f>(SUM(Y$3:Y28)/($B28-$B$3+1))</f>
        <v>4712.2533111162338</v>
      </c>
      <c r="AA28" s="21">
        <f>SUM(Y$3:Y28)/1000</f>
        <v>122.51858608902208</v>
      </c>
      <c r="AB28" s="20">
        <f t="shared" si="7"/>
        <v>3376.6023211223951</v>
      </c>
      <c r="AC28" s="20">
        <f>(SUM(AB$3:AB28)/($B28-$B$3+1))</f>
        <v>3356.8819737517706</v>
      </c>
      <c r="AD28" s="18">
        <f t="shared" si="27"/>
        <v>4.7065117697039485</v>
      </c>
      <c r="AE28" s="18">
        <f t="shared" si="27"/>
        <v>4.2984670245883327</v>
      </c>
      <c r="AF28" s="20">
        <f t="shared" si="9"/>
        <v>4502.4893971461406</v>
      </c>
      <c r="AG28" s="20">
        <f>(SUM(AF$3:AF28)/($B28-$B$3+1))</f>
        <v>3583.0162777898049</v>
      </c>
      <c r="AH28" s="22">
        <f>SUM(AF$3:AF28)/1000</f>
        <v>93.158423222534921</v>
      </c>
      <c r="AI28" s="20">
        <v>2567.4386076962651</v>
      </c>
      <c r="AJ28" s="20">
        <f>(SUM(AI$3:AI28)/($B28-$B$3+1))</f>
        <v>2552.4440136098374</v>
      </c>
      <c r="AK28" s="21">
        <f>SUM(AI$3:AI28)/1000</f>
        <v>66.363544353855772</v>
      </c>
      <c r="AL28" s="23">
        <f t="shared" si="21"/>
        <v>3.1647186780164658</v>
      </c>
      <c r="AM28" s="23">
        <f t="shared" si="22"/>
        <v>3.338102083474229</v>
      </c>
      <c r="AN28" s="24">
        <f t="shared" si="10"/>
        <v>1.0685996433889797</v>
      </c>
      <c r="AO28" s="24">
        <f t="shared" si="11"/>
        <v>1.1271443243202586</v>
      </c>
      <c r="AP28" s="24">
        <f t="shared" si="25"/>
        <v>1.0978719838546191</v>
      </c>
      <c r="AQ28" s="24">
        <f>(SUM(AP$3:AP28)/($B28-$B$3+1))</f>
        <v>1.2005260192427734</v>
      </c>
      <c r="AR28" s="21">
        <f t="shared" si="28"/>
        <v>19.589083001382772</v>
      </c>
      <c r="AS28" s="21">
        <f t="shared" si="28"/>
        <v>18.870919427319389</v>
      </c>
      <c r="AT28" s="21">
        <f t="shared" si="26"/>
        <v>19.230001214351081</v>
      </c>
      <c r="AU28" s="21">
        <f>(SUM(AT$3:AT28)/($B28-$B$3+1))</f>
        <v>16.713622552126459</v>
      </c>
      <c r="AV28" s="22">
        <f>SUM(AT$3:AT28)/1000</f>
        <v>0.43455418635528792</v>
      </c>
    </row>
    <row r="29" spans="1:48" ht="15.6">
      <c r="A29" s="17" t="s">
        <v>63</v>
      </c>
      <c r="B29" s="17">
        <v>86</v>
      </c>
      <c r="C29" s="18">
        <f t="shared" si="0"/>
        <v>42.94363499555007</v>
      </c>
      <c r="D29" s="18">
        <f t="shared" si="1"/>
        <v>41.699940512460387</v>
      </c>
      <c r="E29" s="18">
        <f t="shared" si="13"/>
        <v>42.321787754005229</v>
      </c>
      <c r="F29" s="19">
        <f t="shared" si="23"/>
        <v>0.92215986832788133</v>
      </c>
      <c r="G29" s="19">
        <f t="shared" si="23"/>
        <v>0.84707559504885666</v>
      </c>
      <c r="H29" s="19">
        <f t="shared" si="14"/>
        <v>0.88461773168836899</v>
      </c>
      <c r="I29" s="19">
        <f>(SUM(H$3:H29)/($B29-$B$3+1))</f>
        <v>0.79143992219195258</v>
      </c>
      <c r="J29" s="19"/>
      <c r="K29" s="19">
        <f t="shared" si="15"/>
        <v>1.8655037010774556</v>
      </c>
      <c r="L29" s="19">
        <f t="shared" si="16"/>
        <v>1.6942932936786994</v>
      </c>
      <c r="M29" s="19">
        <f t="shared" si="17"/>
        <v>1.7798984973780776</v>
      </c>
      <c r="N29" s="19">
        <f>(SUM(M$3:M29)/($B29-$B$3+1))</f>
        <v>1.4169984324075708</v>
      </c>
      <c r="O29" s="19">
        <f t="shared" si="2"/>
        <v>2.02297211703661</v>
      </c>
      <c r="P29" s="19">
        <f t="shared" si="3"/>
        <v>2.0001677578504404</v>
      </c>
      <c r="Q29" s="19">
        <f t="shared" si="18"/>
        <v>2.0115699374435252</v>
      </c>
      <c r="R29" s="19">
        <f>(SUM(Q$3:Q29)/($B29-$B$3+1))</f>
        <v>1.7813179854656243</v>
      </c>
      <c r="S29" s="19">
        <f t="shared" si="4"/>
        <v>6.8950845414983251</v>
      </c>
      <c r="T29" s="19">
        <f t="shared" si="5"/>
        <v>6.6911545669961532</v>
      </c>
      <c r="U29" s="19">
        <f t="shared" si="24"/>
        <v>6.7931195542472391</v>
      </c>
      <c r="V29" s="19">
        <f>(SUM(U$3:U29)/($B29-$B$3+1))</f>
        <v>5.9801182696300561</v>
      </c>
      <c r="W29" s="18">
        <f t="shared" si="19"/>
        <v>6.3583702528977053</v>
      </c>
      <c r="X29" s="18">
        <f t="shared" si="20"/>
        <v>5.6679137364021415</v>
      </c>
      <c r="Y29" s="20">
        <f t="shared" si="6"/>
        <v>6013.1419946499236</v>
      </c>
      <c r="Z29" s="20">
        <f>(SUM(Y$3:Y29)/($B29-$B$3+1))</f>
        <v>4760.434373469333</v>
      </c>
      <c r="AA29" s="21">
        <f>SUM(Y$3:Y29)/1000</f>
        <v>128.53172808367199</v>
      </c>
      <c r="AB29" s="20">
        <f t="shared" si="7"/>
        <v>3378.3623074617612</v>
      </c>
      <c r="AC29" s="20">
        <f>(SUM(AB$3:AB29)/($B29-$B$3+1))</f>
        <v>3357.6775416669557</v>
      </c>
      <c r="AD29" s="18">
        <f t="shared" si="27"/>
        <v>4.7920626904244665</v>
      </c>
      <c r="AE29" s="18">
        <f t="shared" si="27"/>
        <v>4.3522613622179964</v>
      </c>
      <c r="AF29" s="20">
        <f t="shared" si="9"/>
        <v>4572.1620263212317</v>
      </c>
      <c r="AG29" s="20">
        <f>(SUM(AF$3:AF29)/($B29-$B$3+1))</f>
        <v>3619.6513055131913</v>
      </c>
      <c r="AH29" s="22">
        <f>SUM(AF$3:AF29)/1000</f>
        <v>97.730585248856158</v>
      </c>
      <c r="AI29" s="20">
        <v>2568.7768336544837</v>
      </c>
      <c r="AJ29" s="20">
        <f>(SUM(AI$3:AI29)/($B29-$B$3+1))</f>
        <v>2553.0489328707504</v>
      </c>
      <c r="AK29" s="21">
        <f>SUM(AI$3:AI29)/1000</f>
        <v>68.932321187510254</v>
      </c>
      <c r="AL29" s="23">
        <f t="shared" si="21"/>
        <v>3.1393221479603524</v>
      </c>
      <c r="AM29" s="23">
        <f t="shared" si="22"/>
        <v>3.3117131292668831</v>
      </c>
      <c r="AN29" s="24">
        <f t="shared" si="10"/>
        <v>1.0605767615649149</v>
      </c>
      <c r="AO29" s="24">
        <f t="shared" si="11"/>
        <v>1.1188166809041475</v>
      </c>
      <c r="AP29" s="24">
        <f t="shared" si="25"/>
        <v>1.0896967212345312</v>
      </c>
      <c r="AQ29" s="24">
        <f>(SUM(AP$3:AP29)/($B29-$B$3+1))</f>
        <v>1.1964212304276531</v>
      </c>
      <c r="AR29" s="21">
        <f t="shared" si="28"/>
        <v>19.785098739760908</v>
      </c>
      <c r="AS29" s="21">
        <f t="shared" si="28"/>
        <v>18.956035993117588</v>
      </c>
      <c r="AT29" s="21">
        <f t="shared" si="26"/>
        <v>19.370567366439246</v>
      </c>
      <c r="AU29" s="21">
        <f>(SUM(AT$3:AT29)/($B29-$B$3+1))</f>
        <v>16.812027915619524</v>
      </c>
      <c r="AV29" s="22">
        <f>SUM(AT$3:AT29)/1000</f>
        <v>0.45392475372172714</v>
      </c>
    </row>
    <row r="30" spans="1:48" ht="15.6">
      <c r="A30" s="17" t="s">
        <v>63</v>
      </c>
      <c r="B30" s="17">
        <v>87</v>
      </c>
      <c r="C30" s="18">
        <f t="shared" si="0"/>
        <v>43.865794863877952</v>
      </c>
      <c r="D30" s="18">
        <f t="shared" si="1"/>
        <v>42.547016107509243</v>
      </c>
      <c r="E30" s="18">
        <f t="shared" si="13"/>
        <v>43.206405485693594</v>
      </c>
      <c r="F30" s="19">
        <f t="shared" si="23"/>
        <v>0.92843723475280626</v>
      </c>
      <c r="G30" s="19">
        <f t="shared" si="23"/>
        <v>0.8522288977350243</v>
      </c>
      <c r="H30" s="19">
        <f t="shared" si="14"/>
        <v>0.89033306624391528</v>
      </c>
      <c r="I30" s="19">
        <f>(SUM(H$3:H30)/($B30-$B$3+1))</f>
        <v>0.79497182019380841</v>
      </c>
      <c r="J30" s="19"/>
      <c r="K30" s="19">
        <f t="shared" si="15"/>
        <v>1.8974525499030528</v>
      </c>
      <c r="L30" s="19">
        <f t="shared" si="16"/>
        <v>1.7141633832323917</v>
      </c>
      <c r="M30" s="19">
        <f t="shared" si="17"/>
        <v>1.8058079665677222</v>
      </c>
      <c r="N30" s="19">
        <f>(SUM(M$3:M30)/($B30-$B$3+1))</f>
        <v>1.4308844871990047</v>
      </c>
      <c r="O30" s="19">
        <f t="shared" si="2"/>
        <v>2.0437057874011741</v>
      </c>
      <c r="P30" s="19">
        <f t="shared" si="3"/>
        <v>2.0113884753123692</v>
      </c>
      <c r="Q30" s="19">
        <f t="shared" si="18"/>
        <v>2.0275471313567719</v>
      </c>
      <c r="R30" s="19">
        <f>(SUM(Q$3:Q30)/($B30-$B$3+1))</f>
        <v>1.7901118835331651</v>
      </c>
      <c r="S30" s="19">
        <f t="shared" si="4"/>
        <v>6.9683371822633156</v>
      </c>
      <c r="T30" s="19">
        <f t="shared" si="5"/>
        <v>6.7330598641338213</v>
      </c>
      <c r="U30" s="19">
        <f t="shared" si="24"/>
        <v>6.8506985231985684</v>
      </c>
      <c r="V30" s="19">
        <f>(SUM(U$3:U30)/($B30-$B$3+1))</f>
        <v>6.0112104215432174</v>
      </c>
      <c r="W30" s="18">
        <f t="shared" si="19"/>
        <v>6.4696637043257148</v>
      </c>
      <c r="X30" s="18">
        <f t="shared" si="20"/>
        <v>5.7381081863946992</v>
      </c>
      <c r="Y30" s="20">
        <f t="shared" si="6"/>
        <v>6103.8859453602072</v>
      </c>
      <c r="Z30" s="20">
        <f>(SUM(Y$3:Y30)/($B30-$B$3+1))</f>
        <v>4808.4147867511501</v>
      </c>
      <c r="AA30" s="21">
        <f>SUM(Y$3:Y30)/1000</f>
        <v>134.63561402903221</v>
      </c>
      <c r="AB30" s="20">
        <f t="shared" si="7"/>
        <v>3380.1412211962884</v>
      </c>
      <c r="AC30" s="20">
        <f>(SUM(AB$3:AB30)/($B30-$B$3+1))</f>
        <v>3358.4798159358606</v>
      </c>
      <c r="AD30" s="18">
        <f t="shared" si="27"/>
        <v>4.8766986809053572</v>
      </c>
      <c r="AE30" s="18">
        <f t="shared" si="27"/>
        <v>4.40562179554518</v>
      </c>
      <c r="AF30" s="20">
        <f t="shared" si="9"/>
        <v>4641.1602382252677</v>
      </c>
      <c r="AG30" s="20">
        <f>(SUM(AF$3:AF30)/($B30-$B$3+1))</f>
        <v>3656.1337673957655</v>
      </c>
      <c r="AH30" s="22">
        <f>SUM(AF$3:AF30)/1000</f>
        <v>102.37174548708144</v>
      </c>
      <c r="AI30" s="20">
        <v>2570.1294512764093</v>
      </c>
      <c r="AJ30" s="20">
        <f>(SUM(AI$3:AI30)/($B30-$B$3+1))</f>
        <v>2553.6589513852382</v>
      </c>
      <c r="AK30" s="21">
        <f>SUM(AI$3:AI30)/1000</f>
        <v>71.502450638786669</v>
      </c>
      <c r="AL30" s="23">
        <f t="shared" si="21"/>
        <v>3.1139937612642257</v>
      </c>
      <c r="AM30" s="23">
        <f t="shared" si="22"/>
        <v>3.2854363719217181</v>
      </c>
      <c r="AN30" s="24">
        <f t="shared" si="10"/>
        <v>1.0525738674997283</v>
      </c>
      <c r="AO30" s="24">
        <f t="shared" si="11"/>
        <v>1.1105238910350179</v>
      </c>
      <c r="AP30" s="24">
        <f t="shared" si="25"/>
        <v>1.0815488792673731</v>
      </c>
      <c r="AQ30" s="24">
        <f>(SUM(AP$3:AP30)/($B30-$B$3+1))</f>
        <v>1.1923186464576432</v>
      </c>
      <c r="AR30" s="21">
        <f t="shared" si="28"/>
        <v>19.972089688486772</v>
      </c>
      <c r="AS30" s="21">
        <f t="shared" si="28"/>
        <v>19.036193902169863</v>
      </c>
      <c r="AT30" s="21">
        <f t="shared" si="26"/>
        <v>19.504141795328316</v>
      </c>
      <c r="AU30" s="21">
        <f>(SUM(AT$3:AT30)/($B30-$B$3+1))</f>
        <v>16.908174839894837</v>
      </c>
      <c r="AV30" s="22">
        <f>SUM(AT$3:AT30)/1000</f>
        <v>0.47342889551705547</v>
      </c>
    </row>
    <row r="31" spans="1:48" ht="15.6">
      <c r="A31" s="17" t="s">
        <v>63</v>
      </c>
      <c r="B31" s="17">
        <v>88</v>
      </c>
      <c r="C31" s="18">
        <f t="shared" si="0"/>
        <v>44.794232098630758</v>
      </c>
      <c r="D31" s="18">
        <f t="shared" si="1"/>
        <v>43.399245005244268</v>
      </c>
      <c r="E31" s="18">
        <f t="shared" si="13"/>
        <v>44.096738551937513</v>
      </c>
      <c r="F31" s="19">
        <f t="shared" si="23"/>
        <v>0.93453855492441562</v>
      </c>
      <c r="G31" s="19">
        <f t="shared" si="23"/>
        <v>0.8572428113170858</v>
      </c>
      <c r="H31" s="19">
        <f t="shared" si="14"/>
        <v>0.89589068312075071</v>
      </c>
      <c r="I31" s="19">
        <f>(SUM(H$3:H31)/($B31-$B$3+1))</f>
        <v>0.79845178098439262</v>
      </c>
      <c r="J31" s="19"/>
      <c r="K31" s="19">
        <f t="shared" si="15"/>
        <v>1.9289836018295425</v>
      </c>
      <c r="L31" s="19">
        <f t="shared" si="16"/>
        <v>1.7338317828807457</v>
      </c>
      <c r="M31" s="19">
        <f t="shared" si="17"/>
        <v>1.8314076923551441</v>
      </c>
      <c r="N31" s="19">
        <f>(SUM(M$3:M31)/($B31-$B$3+1))</f>
        <v>1.4446956322043887</v>
      </c>
      <c r="O31" s="19">
        <f t="shared" si="2"/>
        <v>2.0641027506730918</v>
      </c>
      <c r="P31" s="19">
        <f t="shared" si="3"/>
        <v>2.0225678885738922</v>
      </c>
      <c r="Q31" s="19">
        <f t="shared" si="18"/>
        <v>2.043335319623492</v>
      </c>
      <c r="R31" s="19">
        <f>(SUM(Q$3:Q31)/($B31-$B$3+1))</f>
        <v>1.7988437261569696</v>
      </c>
      <c r="S31" s="19">
        <f t="shared" si="4"/>
        <v>7.040629042534496</v>
      </c>
      <c r="T31" s="19">
        <f t="shared" si="5"/>
        <v>6.7748329058562229</v>
      </c>
      <c r="U31" s="19">
        <f t="shared" si="24"/>
        <v>6.9077309741953599</v>
      </c>
      <c r="V31" s="19">
        <f>(SUM(U$3:U31)/($B31-$B$3+1))</f>
        <v>6.0421249233588092</v>
      </c>
      <c r="W31" s="18">
        <f t="shared" si="19"/>
        <v>6.5797392911690595</v>
      </c>
      <c r="X31" s="18">
        <f t="shared" si="20"/>
        <v>5.80767680641969</v>
      </c>
      <c r="Y31" s="20">
        <f t="shared" si="6"/>
        <v>6193.7080487943749</v>
      </c>
      <c r="Z31" s="20">
        <f>(SUM(Y$3:Y31)/($B31-$B$3+1))</f>
        <v>4856.1835199250554</v>
      </c>
      <c r="AA31" s="21">
        <f>SUM(Y$3:Y31)/1000</f>
        <v>140.82932207782659</v>
      </c>
      <c r="AB31" s="20">
        <f t="shared" si="7"/>
        <v>3381.9384261892133</v>
      </c>
      <c r="AC31" s="20">
        <f>(SUM(AB$3:AB31)/($B31-$B$3+1))</f>
        <v>3359.2887335308037</v>
      </c>
      <c r="AD31" s="18">
        <f t="shared" si="27"/>
        <v>4.9603735715492085</v>
      </c>
      <c r="AE31" s="18">
        <f t="shared" si="27"/>
        <v>4.4585414542438846</v>
      </c>
      <c r="AF31" s="20">
        <f t="shared" si="9"/>
        <v>4709.4575128965471</v>
      </c>
      <c r="AG31" s="20">
        <f>(SUM(AF$3:AF31)/($B31-$B$3+1))</f>
        <v>3692.4552758613099</v>
      </c>
      <c r="AH31" s="22">
        <f>SUM(AF$3:AF31)/1000</f>
        <v>107.08120299997799</v>
      </c>
      <c r="AI31" s="20">
        <v>2571.4959768681015</v>
      </c>
      <c r="AJ31" s="20">
        <f>(SUM(AI$3:AI31)/($B31-$B$3+1))</f>
        <v>2554.2740212294748</v>
      </c>
      <c r="AK31" s="21">
        <f>SUM(AI$3:AI31)/1000</f>
        <v>74.073946615654776</v>
      </c>
      <c r="AL31" s="23">
        <f t="shared" si="21"/>
        <v>3.0887434847462085</v>
      </c>
      <c r="AM31" s="23">
        <f t="shared" si="22"/>
        <v>3.2592813063801547</v>
      </c>
      <c r="AN31" s="24">
        <f t="shared" si="10"/>
        <v>1.044594027970478</v>
      </c>
      <c r="AO31" s="24">
        <f t="shared" si="11"/>
        <v>1.1022688691807223</v>
      </c>
      <c r="AP31" s="24">
        <f t="shared" si="25"/>
        <v>1.0734314485756</v>
      </c>
      <c r="AQ31" s="24">
        <f>(SUM(AP$3:AP31)/($B31-$B$3+1))</f>
        <v>1.1882190879099865</v>
      </c>
      <c r="AR31" s="21">
        <f t="shared" si="28"/>
        <v>20.150047505241222</v>
      </c>
      <c r="AS31" s="21">
        <f t="shared" si="28"/>
        <v>19.111487986655554</v>
      </c>
      <c r="AT31" s="21">
        <f t="shared" si="26"/>
        <v>19.63076774594839</v>
      </c>
      <c r="AU31" s="21">
        <f>(SUM(AT$3:AT31)/($B31-$B$3+1))</f>
        <v>17.002057353896685</v>
      </c>
      <c r="AV31" s="22">
        <f>SUM(AT$3:AT31)/1000</f>
        <v>0.49305966326300388</v>
      </c>
    </row>
    <row r="32" spans="1:48" ht="15.6">
      <c r="A32" s="17" t="s">
        <v>63</v>
      </c>
      <c r="B32" s="17">
        <v>89</v>
      </c>
      <c r="C32" s="18">
        <f t="shared" si="0"/>
        <v>45.728770653555173</v>
      </c>
      <c r="D32" s="18">
        <f t="shared" si="1"/>
        <v>44.256487816561354</v>
      </c>
      <c r="E32" s="18">
        <f t="shared" si="13"/>
        <v>44.99262923505826</v>
      </c>
      <c r="F32" s="19">
        <f t="shared" si="23"/>
        <v>0.94046379424804627</v>
      </c>
      <c r="G32" s="19">
        <f t="shared" si="23"/>
        <v>0.86211771820708805</v>
      </c>
      <c r="H32" s="19">
        <f t="shared" si="14"/>
        <v>0.90129075622756716</v>
      </c>
      <c r="I32" s="19">
        <f>(SUM(H$3:H32)/($B32-$B$3+1))</f>
        <v>0.80187974682583174</v>
      </c>
      <c r="J32" s="19"/>
      <c r="K32" s="19">
        <f t="shared" si="15"/>
        <v>1.9600804969791557</v>
      </c>
      <c r="L32" s="19">
        <f t="shared" si="16"/>
        <v>1.7532963439632825</v>
      </c>
      <c r="M32" s="19">
        <f t="shared" si="17"/>
        <v>1.8566884204712191</v>
      </c>
      <c r="N32" s="19">
        <f>(SUM(M$3:M32)/($B32-$B$3+1))</f>
        <v>1.4584287251466166</v>
      </c>
      <c r="O32" s="19">
        <f t="shared" si="2"/>
        <v>2.0841636955799561</v>
      </c>
      <c r="P32" s="19">
        <f t="shared" si="3"/>
        <v>2.0337087464221746</v>
      </c>
      <c r="Q32" s="19">
        <f t="shared" si="18"/>
        <v>2.0589362210010655</v>
      </c>
      <c r="R32" s="19">
        <f>(SUM(Q$3:Q32)/($B32-$B$3+1))</f>
        <v>1.8075134759851064</v>
      </c>
      <c r="S32" s="19">
        <f t="shared" si="4"/>
        <v>7.1119600031425962</v>
      </c>
      <c r="T32" s="19">
        <f t="shared" si="5"/>
        <v>6.8164820917035778</v>
      </c>
      <c r="U32" s="19">
        <f t="shared" si="24"/>
        <v>6.964221047423087</v>
      </c>
      <c r="V32" s="19">
        <f>(SUM(U$3:U32)/($B32-$B$3+1))</f>
        <v>6.0728614608276184</v>
      </c>
      <c r="W32" s="18">
        <f t="shared" si="19"/>
        <v>6.6885408890958331</v>
      </c>
      <c r="X32" s="18">
        <f t="shared" si="20"/>
        <v>5.8766099870989672</v>
      </c>
      <c r="Y32" s="20">
        <f t="shared" si="6"/>
        <v>6282.5754380973995</v>
      </c>
      <c r="Z32" s="20">
        <f>(SUM(Y$3:Y32)/($B32-$B$3+1))</f>
        <v>4903.7299171974673</v>
      </c>
      <c r="AA32" s="21">
        <f>SUM(Y$3:Y32)/1000</f>
        <v>147.111897515924</v>
      </c>
      <c r="AB32" s="20">
        <f t="shared" si="7"/>
        <v>3383.7532290436275</v>
      </c>
      <c r="AC32" s="20">
        <f>(SUM(AB$3:AB32)/($B32-$B$3+1))</f>
        <v>3360.1042167145642</v>
      </c>
      <c r="AD32" s="18">
        <f t="shared" si="27"/>
        <v>5.0430438398028601</v>
      </c>
      <c r="AE32" s="18">
        <f t="shared" si="27"/>
        <v>4.5110138794809593</v>
      </c>
      <c r="AF32" s="20">
        <f t="shared" si="9"/>
        <v>4777.0288596419095</v>
      </c>
      <c r="AG32" s="20">
        <f>(SUM(AF$3:AF32)/($B32-$B$3+1))</f>
        <v>3728.6077286539967</v>
      </c>
      <c r="AH32" s="22">
        <f>SUM(AF$3:AF32)/1000</f>
        <v>111.85823185961991</v>
      </c>
      <c r="AI32" s="20">
        <v>2572.8758831972041</v>
      </c>
      <c r="AJ32" s="20">
        <f>(SUM(AI$3:AI32)/($B32-$B$3+1))</f>
        <v>2554.8940832950661</v>
      </c>
      <c r="AK32" s="21">
        <f>SUM(AI$3:AI32)/1000</f>
        <v>76.646822498851975</v>
      </c>
      <c r="AL32" s="23">
        <f t="shared" si="21"/>
        <v>3.063581133272645</v>
      </c>
      <c r="AM32" s="23">
        <f t="shared" si="22"/>
        <v>3.2332572639257058</v>
      </c>
      <c r="AN32" s="24">
        <f t="shared" si="10"/>
        <v>1.0366402552148448</v>
      </c>
      <c r="AO32" s="24">
        <f t="shared" si="11"/>
        <v>1.0940544707137372</v>
      </c>
      <c r="AP32" s="24">
        <f t="shared" si="25"/>
        <v>1.0653473629642911</v>
      </c>
      <c r="AQ32" s="24">
        <f>(SUM(AP$3:AP32)/($B32-$B$3+1))</f>
        <v>1.1841233637451298</v>
      </c>
      <c r="AR32" s="21">
        <f t="shared" si="28"/>
        <v>20.31898346630112</v>
      </c>
      <c r="AS32" s="21">
        <f t="shared" si="28"/>
        <v>19.182017035990796</v>
      </c>
      <c r="AT32" s="21">
        <f t="shared" si="26"/>
        <v>19.750500251145958</v>
      </c>
      <c r="AU32" s="21">
        <f>(SUM(AT$3:AT32)/($B32-$B$3+1))</f>
        <v>17.093672117138329</v>
      </c>
      <c r="AV32" s="22">
        <f>SUM(AT$3:AT32)/1000</f>
        <v>0.51281016351414987</v>
      </c>
    </row>
    <row r="33" spans="1:48" ht="15.6">
      <c r="A33" s="17" t="s">
        <v>63</v>
      </c>
      <c r="B33" s="17">
        <v>90</v>
      </c>
      <c r="C33" s="18">
        <f t="shared" si="0"/>
        <v>46.66923444780322</v>
      </c>
      <c r="D33" s="18">
        <f t="shared" si="1"/>
        <v>45.118605534768442</v>
      </c>
      <c r="E33" s="18">
        <f t="shared" si="13"/>
        <v>45.893919991285827</v>
      </c>
      <c r="F33" s="19">
        <f t="shared" si="23"/>
        <v>0.9462130102237154</v>
      </c>
      <c r="G33" s="19">
        <f t="shared" si="23"/>
        <v>0.866854050632341</v>
      </c>
      <c r="H33" s="19">
        <f t="shared" si="14"/>
        <v>0.9065335304280282</v>
      </c>
      <c r="I33" s="19">
        <f>(SUM(H$3:H33)/($B33-$B$3+1))</f>
        <v>0.80525567532912845</v>
      </c>
      <c r="J33" s="19"/>
      <c r="K33" s="19">
        <f t="shared" si="15"/>
        <v>1.9907280168618966</v>
      </c>
      <c r="L33" s="19">
        <f t="shared" si="16"/>
        <v>1.7725551276713836</v>
      </c>
      <c r="M33" s="19">
        <f t="shared" si="17"/>
        <v>1.88164157226664</v>
      </c>
      <c r="N33" s="19">
        <f>(SUM(M$3:M33)/($B33-$B$3+1))</f>
        <v>1.4720807524730688</v>
      </c>
      <c r="O33" s="19">
        <f t="shared" si="2"/>
        <v>2.1038899226203029</v>
      </c>
      <c r="P33" s="19">
        <f t="shared" si="3"/>
        <v>2.0448138027138061</v>
      </c>
      <c r="Q33" s="19">
        <f t="shared" si="18"/>
        <v>2.0743518626670543</v>
      </c>
      <c r="R33" s="19">
        <f>(SUM(Q$3:Q33)/($B33-$B$3+1))</f>
        <v>1.8161211658780725</v>
      </c>
      <c r="S33" s="19">
        <f t="shared" si="4"/>
        <v>7.1823316880735373</v>
      </c>
      <c r="T33" s="19">
        <f t="shared" si="5"/>
        <v>6.8580158722768676</v>
      </c>
      <c r="U33" s="19">
        <f t="shared" si="24"/>
        <v>7.0201737801752024</v>
      </c>
      <c r="V33" s="19">
        <f>(SUM(U$3:U33)/($B33-$B$3+1))</f>
        <v>6.1034199227420567</v>
      </c>
      <c r="W33" s="18">
        <f t="shared" si="19"/>
        <v>6.796015686997241</v>
      </c>
      <c r="X33" s="18">
        <f t="shared" si="20"/>
        <v>5.9448988381840904</v>
      </c>
      <c r="Y33" s="20">
        <f t="shared" si="6"/>
        <v>6370.4572625906658</v>
      </c>
      <c r="Z33" s="20">
        <f>(SUM(Y$3:Y33)/($B33-$B$3+1))</f>
        <v>4951.0437025327319</v>
      </c>
      <c r="AA33" s="21">
        <f>SUM(Y$3:Y33)/1000</f>
        <v>153.48235477851469</v>
      </c>
      <c r="AB33" s="20">
        <f t="shared" si="7"/>
        <v>3385.5848831596359</v>
      </c>
      <c r="AC33" s="20">
        <f>(SUM(AB$3:AB33)/($B33-$B$3+1))</f>
        <v>3360.9261736966632</v>
      </c>
      <c r="AD33" s="18">
        <f t="shared" si="27"/>
        <v>5.1246686300796647</v>
      </c>
      <c r="AE33" s="18">
        <f t="shared" si="27"/>
        <v>4.5630330115028279</v>
      </c>
      <c r="AF33" s="20">
        <f t="shared" si="9"/>
        <v>4843.8508207912464</v>
      </c>
      <c r="AG33" s="20">
        <f>(SUM(AF$3:AF33)/($B33-$B$3+1))</f>
        <v>3764.5833122713275</v>
      </c>
      <c r="AH33" s="22">
        <f>SUM(AF$3:AF33)/1000</f>
        <v>116.70208268041115</v>
      </c>
      <c r="AI33" s="20">
        <v>2574.2686025778576</v>
      </c>
      <c r="AJ33" s="20">
        <f>(SUM(AI$3:AI33)/($B33-$B$3+1))</f>
        <v>2555.5190677880591</v>
      </c>
      <c r="AK33" s="21">
        <f>SUM(AI$3:AI33)/1000</f>
        <v>79.221091101429835</v>
      </c>
      <c r="AL33" s="23">
        <f t="shared" si="21"/>
        <v>3.0385163639178279</v>
      </c>
      <c r="AM33" s="23">
        <f t="shared" si="22"/>
        <v>3.2073734084553025</v>
      </c>
      <c r="AN33" s="24">
        <f t="shared" si="10"/>
        <v>1.0287155068913381</v>
      </c>
      <c r="AO33" s="24">
        <f t="shared" si="11"/>
        <v>1.0858834926314469</v>
      </c>
      <c r="AP33" s="24">
        <f t="shared" si="25"/>
        <v>1.0572994997613925</v>
      </c>
      <c r="AQ33" s="24">
        <f>(SUM(AP$3:AP33)/($B33-$B$3+1))</f>
        <v>1.1800322713585576</v>
      </c>
      <c r="AR33" s="21">
        <f t="shared" si="28"/>
        <v>20.478927809488741</v>
      </c>
      <c r="AS33" s="21">
        <f t="shared" si="28"/>
        <v>19.247883529175823</v>
      </c>
      <c r="AT33" s="21">
        <f t="shared" si="26"/>
        <v>19.86340566933228</v>
      </c>
      <c r="AU33" s="21">
        <f>(SUM(AT$3:AT33)/($B33-$B$3+1))</f>
        <v>17.18301836075749</v>
      </c>
      <c r="AV33" s="22">
        <f>SUM(AT$3:AT33)/1000</f>
        <v>0.53267356918348219</v>
      </c>
    </row>
    <row r="34" spans="1:48" ht="15.6">
      <c r="A34" s="17" t="s">
        <v>63</v>
      </c>
      <c r="B34" s="17">
        <v>91</v>
      </c>
      <c r="C34" s="18">
        <f t="shared" si="0"/>
        <v>47.615447458026935</v>
      </c>
      <c r="D34" s="18">
        <f t="shared" si="1"/>
        <v>45.985459585400783</v>
      </c>
      <c r="E34" s="18">
        <f t="shared" si="13"/>
        <v>46.800453521713862</v>
      </c>
      <c r="F34" s="19">
        <f t="shared" si="23"/>
        <v>0.95178635062327999</v>
      </c>
      <c r="G34" s="19">
        <f t="shared" si="23"/>
        <v>0.87145228944382325</v>
      </c>
      <c r="H34" s="19">
        <f t="shared" si="14"/>
        <v>0.91161932003355162</v>
      </c>
      <c r="I34" s="19">
        <f>(SUM(H$3:H34)/($B34-$B$3+1))</f>
        <v>0.80857953922614167</v>
      </c>
      <c r="J34" s="19"/>
      <c r="K34" s="19">
        <f t="shared" si="15"/>
        <v>2.0209120853206768</v>
      </c>
      <c r="L34" s="19">
        <f t="shared" si="16"/>
        <v>1.7916063988740161</v>
      </c>
      <c r="M34" s="19">
        <f t="shared" si="17"/>
        <v>1.9062592420973465</v>
      </c>
      <c r="N34" s="19">
        <f>(SUM(M$3:M34)/($B34-$B$3+1))</f>
        <v>1.4856488302738275</v>
      </c>
      <c r="O34" s="19">
        <f t="shared" si="2"/>
        <v>2.1232833229823864</v>
      </c>
      <c r="P34" s="19">
        <f t="shared" si="3"/>
        <v>2.0558858133443563</v>
      </c>
      <c r="Q34" s="19">
        <f t="shared" si="18"/>
        <v>2.0895845681633713</v>
      </c>
      <c r="R34" s="19">
        <f>(SUM(Q$3:Q34)/($B34-$B$3+1))</f>
        <v>1.8246668971994882</v>
      </c>
      <c r="S34" s="19">
        <f t="shared" si="4"/>
        <v>7.2517474103189405</v>
      </c>
      <c r="T34" s="19">
        <f t="shared" si="5"/>
        <v>6.8994427388218496</v>
      </c>
      <c r="U34" s="19">
        <f t="shared" si="24"/>
        <v>7.075595074570395</v>
      </c>
      <c r="V34" s="19">
        <f>(SUM(U$3:U34)/($B34-$B$3+1))</f>
        <v>6.1338003962366923</v>
      </c>
      <c r="W34" s="18">
        <f t="shared" si="19"/>
        <v>6.9021142033092859</v>
      </c>
      <c r="X34" s="18">
        <f t="shared" si="20"/>
        <v>6.0125351706328631</v>
      </c>
      <c r="Y34" s="20">
        <f t="shared" si="6"/>
        <v>6457.3246869710747</v>
      </c>
      <c r="Z34" s="20">
        <f>(SUM(Y$3:Y34)/($B34-$B$3+1))</f>
        <v>4998.1149832964302</v>
      </c>
      <c r="AA34" s="21">
        <f>SUM(Y$3:Y34)/1000</f>
        <v>159.93967946548577</v>
      </c>
      <c r="AB34" s="20">
        <f t="shared" si="7"/>
        <v>3387.4325927812706</v>
      </c>
      <c r="AC34" s="20">
        <f>(SUM(AB$3:AB34)/($B34-$B$3+1))</f>
        <v>3361.7544992930575</v>
      </c>
      <c r="AD34" s="18">
        <f t="shared" si="27"/>
        <v>5.2052097645121016</v>
      </c>
      <c r="AE34" s="18">
        <f t="shared" si="27"/>
        <v>4.6145931776649238</v>
      </c>
      <c r="AF34" s="20">
        <f t="shared" si="9"/>
        <v>4909.9014710885131</v>
      </c>
      <c r="AG34" s="20">
        <f>(SUM(AF$3:AF34)/($B34-$B$3+1))</f>
        <v>3800.3745047343646</v>
      </c>
      <c r="AH34" s="22">
        <f>SUM(AF$3:AF34)/1000</f>
        <v>121.61198415149967</v>
      </c>
      <c r="AI34" s="20">
        <v>2575.6735299478119</v>
      </c>
      <c r="AJ34" s="20">
        <f>(SUM(AI$3:AI34)/($B34-$B$3+1))</f>
        <v>2556.1488947305515</v>
      </c>
      <c r="AK34" s="21">
        <f>SUM(AI$3:AI34)/1000</f>
        <v>81.796764631377656</v>
      </c>
      <c r="AL34" s="23">
        <f t="shared" si="21"/>
        <v>3.0135586704126878</v>
      </c>
      <c r="AM34" s="23">
        <f t="shared" si="22"/>
        <v>3.1816387329735885</v>
      </c>
      <c r="AN34" s="24">
        <f t="shared" si="10"/>
        <v>1.0208226860414531</v>
      </c>
      <c r="AO34" s="24">
        <f t="shared" si="11"/>
        <v>1.0777586742530041</v>
      </c>
      <c r="AP34" s="24">
        <f t="shared" si="25"/>
        <v>1.0492906801472286</v>
      </c>
      <c r="AQ34" s="24">
        <f>(SUM(AP$3:AP34)/($B34-$B$3+1))</f>
        <v>1.1759465966332037</v>
      </c>
      <c r="AR34" s="21">
        <f t="shared" si="28"/>
        <v>20.629929031906876</v>
      </c>
      <c r="AS34" s="21">
        <f t="shared" si="28"/>
        <v>19.309193372336583</v>
      </c>
      <c r="AT34" s="21">
        <f t="shared" si="26"/>
        <v>19.969561202121731</v>
      </c>
      <c r="AU34" s="21">
        <f>(SUM(AT$3:AT34)/($B34-$B$3+1))</f>
        <v>17.270097824550124</v>
      </c>
      <c r="AV34" s="22">
        <f>SUM(AT$3:AT34)/1000</f>
        <v>0.55264313038560398</v>
      </c>
    </row>
    <row r="35" spans="1:48" ht="15.6">
      <c r="A35" s="17" t="s">
        <v>63</v>
      </c>
      <c r="B35" s="17">
        <v>92</v>
      </c>
      <c r="C35" s="18">
        <f t="shared" si="0"/>
        <v>48.567233808650215</v>
      </c>
      <c r="D35" s="18">
        <f t="shared" si="1"/>
        <v>46.856911874844606</v>
      </c>
      <c r="E35" s="18">
        <f t="shared" si="13"/>
        <v>47.712072841747414</v>
      </c>
      <c r="F35" s="19">
        <f t="shared" si="23"/>
        <v>0.95718405162176623</v>
      </c>
      <c r="G35" s="19">
        <f t="shared" si="23"/>
        <v>0.8759129629135316</v>
      </c>
      <c r="H35" s="19">
        <f t="shared" si="14"/>
        <v>0.91654850726764892</v>
      </c>
      <c r="I35" s="19">
        <f>(SUM(H$3:H35)/($B35-$B$3+1))</f>
        <v>0.81185132613649036</v>
      </c>
      <c r="J35" s="19"/>
      <c r="K35" s="19">
        <f t="shared" si="15"/>
        <v>2.0506197655802345</v>
      </c>
      <c r="L35" s="19">
        <f t="shared" si="16"/>
        <v>1.8104486199378973</v>
      </c>
      <c r="M35" s="19">
        <f t="shared" si="17"/>
        <v>1.9305341927590658</v>
      </c>
      <c r="N35" s="19">
        <f>(SUM(M$3:M35)/($B35-$B$3+1))</f>
        <v>1.4991302048945925</v>
      </c>
      <c r="O35" s="19">
        <f t="shared" ref="O35:O66" si="29">K35/F35</f>
        <v>2.1423463565923915</v>
      </c>
      <c r="P35" s="19">
        <f t="shared" ref="P35:P66" si="30">L35/G35</f>
        <v>2.0669275334341881</v>
      </c>
      <c r="Q35" s="19">
        <f t="shared" si="18"/>
        <v>2.10463694501329</v>
      </c>
      <c r="R35" s="19">
        <f>(SUM(Q$3:Q35)/($B35-$B$3+1))</f>
        <v>1.8331508380423307</v>
      </c>
      <c r="S35" s="19">
        <f t="shared" ref="S35:S66" si="31">W35/F35</f>
        <v>7.3202121154990021</v>
      </c>
      <c r="T35" s="19">
        <f t="shared" ref="T35:T66" si="32">X35/G35</f>
        <v>6.9407712134891177</v>
      </c>
      <c r="U35" s="19">
        <f t="shared" si="24"/>
        <v>7.1304916644940599</v>
      </c>
      <c r="V35" s="19">
        <f>(SUM(U$3:U35)/($B35-$B$3+1))</f>
        <v>6.1640031619414613</v>
      </c>
      <c r="W35" s="18">
        <f t="shared" si="19"/>
        <v>7.0067902914440756</v>
      </c>
      <c r="X35" s="18">
        <f t="shared" si="20"/>
        <v>6.0795114785122015</v>
      </c>
      <c r="Y35" s="20">
        <f t="shared" si="6"/>
        <v>6543.1508849781385</v>
      </c>
      <c r="Z35" s="20">
        <f>(SUM(Y$3:Y35)/($B35-$B$3+1))</f>
        <v>5044.934253044361</v>
      </c>
      <c r="AA35" s="21">
        <f>SUM(Y$3:Y35)/1000</f>
        <v>166.48283035046393</v>
      </c>
      <c r="AB35" s="20">
        <f t="shared" si="7"/>
        <v>3389.2955170231144</v>
      </c>
      <c r="AC35" s="20">
        <f>(SUM(AB$3:AB35)/($B35-$B$3+1))</f>
        <v>3362.5890755879077</v>
      </c>
      <c r="AD35" s="18">
        <f t="shared" si="27"/>
        <v>5.2846317448519837</v>
      </c>
      <c r="AE35" s="18">
        <f t="shared" si="27"/>
        <v>4.6656890809009068</v>
      </c>
      <c r="AF35" s="20">
        <f t="shared" si="9"/>
        <v>4975.1604128764448</v>
      </c>
      <c r="AG35" s="20">
        <f>(SUM(AF$3:AF35)/($B35-$B$3+1))</f>
        <v>3835.9740777083671</v>
      </c>
      <c r="AH35" s="22">
        <f>SUM(AF$3:AF35)/1000</f>
        <v>126.58714456437612</v>
      </c>
      <c r="AI35" s="20">
        <v>2577.0900259301202</v>
      </c>
      <c r="AJ35" s="20">
        <f>(SUM(AI$3:AI35)/($B35-$B$3+1))</f>
        <v>2556.7834744638722</v>
      </c>
      <c r="AK35" s="21">
        <f>SUM(AI$3:AI35)/1000</f>
        <v>84.373854657307774</v>
      </c>
      <c r="AL35" s="23">
        <f t="shared" si="21"/>
        <v>2.9887173778837139</v>
      </c>
      <c r="AM35" s="23">
        <f t="shared" si="22"/>
        <v>3.156062056309056</v>
      </c>
      <c r="AN35" s="24">
        <f t="shared" si="10"/>
        <v>1.0129646410510349</v>
      </c>
      <c r="AO35" s="24">
        <f t="shared" si="11"/>
        <v>1.0696826978895035</v>
      </c>
      <c r="AP35" s="24">
        <f t="shared" si="25"/>
        <v>1.0413236694702692</v>
      </c>
      <c r="AQ35" s="24">
        <f>(SUM(AP$3:AP35)/($B35-$B$3+1))</f>
        <v>1.1718671139919026</v>
      </c>
      <c r="AR35" s="21">
        <f t="shared" si="28"/>
        <v>20.772053147731395</v>
      </c>
      <c r="AS35" s="21">
        <f t="shared" si="28"/>
        <v>19.366055641654984</v>
      </c>
      <c r="AT35" s="21">
        <f t="shared" si="26"/>
        <v>20.06905439469319</v>
      </c>
      <c r="AU35" s="21">
        <f>(SUM(AT$3:AT35)/($B35-$B$3+1))</f>
        <v>17.354914690312036</v>
      </c>
      <c r="AV35" s="22">
        <f>SUM(AT$3:AT35)/1000</f>
        <v>0.57271218478029717</v>
      </c>
    </row>
    <row r="36" spans="1:48" ht="15.6">
      <c r="A36" s="17" t="s">
        <v>63</v>
      </c>
      <c r="B36" s="17">
        <v>93</v>
      </c>
      <c r="C36" s="18">
        <f t="shared" si="0"/>
        <v>49.524417860271981</v>
      </c>
      <c r="D36" s="18">
        <f t="shared" si="1"/>
        <v>47.732824837758137</v>
      </c>
      <c r="E36" s="18">
        <f t="shared" si="13"/>
        <v>48.628621349015063</v>
      </c>
      <c r="F36" s="19">
        <f t="shared" si="23"/>
        <v>0.96240643588559749</v>
      </c>
      <c r="G36" s="19">
        <f t="shared" si="23"/>
        <v>0.88023664552203229</v>
      </c>
      <c r="H36" s="19">
        <f t="shared" si="14"/>
        <v>0.92132154070381489</v>
      </c>
      <c r="I36" s="19">
        <f>(SUM(H$3:H36)/($B36-$B$3+1))</f>
        <v>0.815071038329647</v>
      </c>
      <c r="J36" s="19"/>
      <c r="K36" s="19">
        <f t="shared" si="15"/>
        <v>2.0798392535707877</v>
      </c>
      <c r="L36" s="19">
        <f t="shared" si="16"/>
        <v>1.8290804445526407</v>
      </c>
      <c r="M36" s="19">
        <f t="shared" si="17"/>
        <v>1.9544598490617142</v>
      </c>
      <c r="N36" s="19">
        <f>(SUM(M$3:M36)/($B36-$B$3+1))</f>
        <v>1.5125222532524489</v>
      </c>
      <c r="O36" s="19">
        <f t="shared" si="29"/>
        <v>2.161082029399501</v>
      </c>
      <c r="P36" s="19">
        <f t="shared" si="30"/>
        <v>2.0779417147168284</v>
      </c>
      <c r="Q36" s="19">
        <f t="shared" si="18"/>
        <v>2.1195118720581645</v>
      </c>
      <c r="R36" s="19">
        <f>(SUM(Q$3:Q36)/($B36-$B$3+1))</f>
        <v>1.8415732213957374</v>
      </c>
      <c r="S36" s="19">
        <f t="shared" si="31"/>
        <v>7.387732323507028</v>
      </c>
      <c r="T36" s="19">
        <f t="shared" si="32"/>
        <v>6.9820098402287396</v>
      </c>
      <c r="U36" s="19">
        <f t="shared" si="24"/>
        <v>7.1848710818678843</v>
      </c>
      <c r="V36" s="19">
        <f>(SUM(U$3:U36)/($B36-$B$3+1))</f>
        <v>6.1940286889981211</v>
      </c>
      <c r="W36" s="18">
        <f t="shared" si="19"/>
        <v>7.1100011347432224</v>
      </c>
      <c r="X36" s="18">
        <f t="shared" si="20"/>
        <v>6.1458209207647663</v>
      </c>
      <c r="Y36" s="20">
        <f t="shared" si="6"/>
        <v>6627.9110277539939</v>
      </c>
      <c r="Z36" s="20">
        <f>(SUM(Y$3:Y36)/($B36-$B$3+1))</f>
        <v>5091.4923934769977</v>
      </c>
      <c r="AA36" s="21">
        <f>SUM(Y$3:Y36)/1000</f>
        <v>173.11074137821791</v>
      </c>
      <c r="AB36" s="20">
        <f t="shared" si="7"/>
        <v>3391.1727738668478</v>
      </c>
      <c r="AC36" s="20">
        <f>(SUM(AB$3:AB36)/($B36-$B$3+1))</f>
        <v>3363.4297725961114</v>
      </c>
      <c r="AD36" s="18">
        <f t="shared" si="27"/>
        <v>5.3629017458657655</v>
      </c>
      <c r="AE36" s="18">
        <f t="shared" si="27"/>
        <v>4.7163157886261278</v>
      </c>
      <c r="AF36" s="20">
        <f t="shared" si="9"/>
        <v>5039.6087672459462</v>
      </c>
      <c r="AG36" s="20">
        <f>(SUM(AF$3:AF36)/($B36-$B$3+1))</f>
        <v>3871.3750979888837</v>
      </c>
      <c r="AH36" s="22">
        <f>SUM(AF$3:AF36)/1000</f>
        <v>131.62675333162204</v>
      </c>
      <c r="AI36" s="20">
        <v>2578.5174198719574</v>
      </c>
      <c r="AJ36" s="20">
        <f>(SUM(AI$3:AI36)/($B36-$B$3+1))</f>
        <v>2557.4227081523454</v>
      </c>
      <c r="AK36" s="21">
        <f>SUM(AI$3:AI36)/1000</f>
        <v>86.952372077179731</v>
      </c>
      <c r="AL36" s="23">
        <f t="shared" si="21"/>
        <v>2.9640016378828338</v>
      </c>
      <c r="AM36" s="23">
        <f t="shared" si="22"/>
        <v>3.1306520200506043</v>
      </c>
      <c r="AN36" s="24">
        <f t="shared" si="10"/>
        <v>1.0051441656085012</v>
      </c>
      <c r="AO36" s="24">
        <f t="shared" si="11"/>
        <v>1.0616581894846857</v>
      </c>
      <c r="AP36" s="24">
        <f t="shared" si="25"/>
        <v>1.0334011775465934</v>
      </c>
      <c r="AQ36" s="24">
        <f>(SUM(AP$3:AP36)/($B36-$B$3+1))</f>
        <v>1.1677945864493935</v>
      </c>
      <c r="AR36" s="21">
        <f t="shared" si="28"/>
        <v>20.905382911302173</v>
      </c>
      <c r="AS36" s="21">
        <f t="shared" si="28"/>
        <v>19.418582331856005</v>
      </c>
      <c r="AT36" s="21">
        <f t="shared" si="26"/>
        <v>20.161982621579089</v>
      </c>
      <c r="AU36" s="21">
        <f>(SUM(AT$3:AT36)/($B36-$B$3+1))</f>
        <v>17.437475511819891</v>
      </c>
      <c r="AV36" s="22">
        <f>SUM(AT$3:AT36)/1000</f>
        <v>0.59287416740187637</v>
      </c>
    </row>
    <row r="37" spans="1:48" ht="15.6">
      <c r="A37" s="17" t="s">
        <v>63</v>
      </c>
      <c r="B37" s="17">
        <v>94</v>
      </c>
      <c r="C37" s="18">
        <f t="shared" si="0"/>
        <v>50.486824296157579</v>
      </c>
      <c r="D37" s="18">
        <f t="shared" si="1"/>
        <v>48.61306148328017</v>
      </c>
      <c r="E37" s="18">
        <f t="shared" si="13"/>
        <v>49.549942889718878</v>
      </c>
      <c r="F37" s="19">
        <f t="shared" si="23"/>
        <v>0.96745391062115971</v>
      </c>
      <c r="G37" s="19">
        <f t="shared" si="23"/>
        <v>0.88442395673670404</v>
      </c>
      <c r="H37" s="19">
        <f t="shared" si="14"/>
        <v>0.92593893367893187</v>
      </c>
      <c r="I37" s="19">
        <f>(SUM(H$3:H37)/($B37-$B$3+1))</f>
        <v>0.81823869248248371</v>
      </c>
      <c r="J37" s="19"/>
      <c r="K37" s="19">
        <f t="shared" si="15"/>
        <v>2.1085598677098445</v>
      </c>
      <c r="L37" s="19">
        <f t="shared" si="16"/>
        <v>1.8475007115709623</v>
      </c>
      <c r="M37" s="19">
        <f t="shared" si="17"/>
        <v>1.9780302896404034</v>
      </c>
      <c r="N37" s="19">
        <f>(SUM(M$3:M37)/($B37-$B$3+1))</f>
        <v>1.5258224828635332</v>
      </c>
      <c r="O37" s="19">
        <f t="shared" si="29"/>
        <v>2.1794938700036166</v>
      </c>
      <c r="P37" s="19">
        <f t="shared" si="30"/>
        <v>2.0889311031191</v>
      </c>
      <c r="Q37" s="19">
        <f t="shared" si="18"/>
        <v>2.1342124865613581</v>
      </c>
      <c r="R37" s="19">
        <f>(SUM(Q$3:Q37)/($B37-$B$3+1))</f>
        <v>1.8499343432576121</v>
      </c>
      <c r="S37" s="19">
        <f t="shared" si="31"/>
        <v>7.4543160684206313</v>
      </c>
      <c r="T37" s="19">
        <f t="shared" si="32"/>
        <v>7.023167176287255</v>
      </c>
      <c r="U37" s="19">
        <f t="shared" si="24"/>
        <v>7.2387416223539436</v>
      </c>
      <c r="V37" s="19">
        <f>(SUM(U$3:U37)/($B37-$B$3+1))</f>
        <v>6.2238776299511445</v>
      </c>
      <c r="W37" s="18">
        <f t="shared" si="19"/>
        <v>7.2117072313996884</v>
      </c>
      <c r="X37" s="18">
        <f t="shared" si="20"/>
        <v>6.2114573028753188</v>
      </c>
      <c r="Y37" s="20">
        <f t="shared" si="6"/>
        <v>6711.5822671375035</v>
      </c>
      <c r="Z37" s="20">
        <f>(SUM(Y$3:Y37)/($B37-$B$3+1))</f>
        <v>5137.7806755815836</v>
      </c>
      <c r="AA37" s="21">
        <f>SUM(Y$3:Y37)/1000</f>
        <v>179.82232364535543</v>
      </c>
      <c r="AB37" s="20">
        <f t="shared" si="7"/>
        <v>3393.0634441182583</v>
      </c>
      <c r="AC37" s="20">
        <f>(SUM(AB$3:AB37)/($B37-$B$3+1))</f>
        <v>3364.2764489253159</v>
      </c>
      <c r="AD37" s="18">
        <f t="shared" si="27"/>
        <v>5.4399896005994695</v>
      </c>
      <c r="AE37" s="18">
        <f t="shared" si="27"/>
        <v>4.766468722067688</v>
      </c>
      <c r="AF37" s="20">
        <f t="shared" si="9"/>
        <v>5103.2291613335783</v>
      </c>
      <c r="AG37" s="20">
        <f>(SUM(AF$3:AF37)/($B37-$B$3+1))</f>
        <v>3906.5709283701608</v>
      </c>
      <c r="AH37" s="22">
        <f>SUM(AF$3:AF37)/1000</f>
        <v>136.72998249295563</v>
      </c>
      <c r="AI37" s="20">
        <v>2579.9550128533783</v>
      </c>
      <c r="AJ37" s="20">
        <f>(SUM(AI$3:AI37)/($B37-$B$3+1))</f>
        <v>2558.0664882866604</v>
      </c>
      <c r="AK37" s="21">
        <f>SUM(AI$3:AI37)/1000</f>
        <v>89.532327090033107</v>
      </c>
      <c r="AL37" s="23">
        <f t="shared" si="21"/>
        <v>2.9394204237084414</v>
      </c>
      <c r="AM37" s="23">
        <f t="shared" si="22"/>
        <v>3.10541708570282</v>
      </c>
      <c r="AN37" s="24">
        <f t="shared" si="10"/>
        <v>0.99736399865797143</v>
      </c>
      <c r="AO37" s="24">
        <f t="shared" si="11"/>
        <v>1.0536877192238496</v>
      </c>
      <c r="AP37" s="24">
        <f t="shared" si="25"/>
        <v>1.0255258589409104</v>
      </c>
      <c r="AQ37" s="24">
        <f>(SUM(AP$3:AP37)/($B37-$B$3+1))</f>
        <v>1.1637297656634367</v>
      </c>
      <c r="AR37" s="21">
        <f t="shared" si="28"/>
        <v>21.030017010688137</v>
      </c>
      <c r="AS37" s="21">
        <f t="shared" si="28"/>
        <v>19.466888110396464</v>
      </c>
      <c r="AT37" s="21">
        <f t="shared" si="26"/>
        <v>20.248452560542301</v>
      </c>
      <c r="AU37" s="21">
        <f>(SUM(AT$3:AT37)/($B37-$B$3+1))</f>
        <v>17.517789141783389</v>
      </c>
      <c r="AV37" s="22">
        <f>SUM(AT$3:AT37)/1000</f>
        <v>0.61312261996241868</v>
      </c>
    </row>
    <row r="38" spans="1:48" ht="15.6">
      <c r="A38" s="17" t="s">
        <v>63</v>
      </c>
      <c r="B38" s="17">
        <v>95</v>
      </c>
      <c r="C38" s="18">
        <f t="shared" si="0"/>
        <v>51.454278206778739</v>
      </c>
      <c r="D38" s="18">
        <f t="shared" si="1"/>
        <v>49.497485440016874</v>
      </c>
      <c r="E38" s="18">
        <f t="shared" si="13"/>
        <v>50.475881823397806</v>
      </c>
      <c r="F38" s="19">
        <f t="shared" si="23"/>
        <v>0.97232696558675258</v>
      </c>
      <c r="G38" s="19">
        <f t="shared" si="23"/>
        <v>0.88847555978367865</v>
      </c>
      <c r="H38" s="19">
        <f t="shared" si="14"/>
        <v>0.93040126268521561</v>
      </c>
      <c r="I38" s="19">
        <f>(SUM(H$3:H38)/($B38-$B$3+1))</f>
        <v>0.82135431943255954</v>
      </c>
      <c r="J38" s="19"/>
      <c r="K38" s="19">
        <f t="shared" si="15"/>
        <v>2.1367720353363104</v>
      </c>
      <c r="L38" s="19">
        <f t="shared" si="16"/>
        <v>1.8657084388734675</v>
      </c>
      <c r="M38" s="19">
        <f t="shared" si="17"/>
        <v>2.0012402371048887</v>
      </c>
      <c r="N38" s="19">
        <f>(SUM(M$3:M38)/($B38-$B$3+1))</f>
        <v>1.5390285315924599</v>
      </c>
      <c r="O38" s="19">
        <f t="shared" si="29"/>
        <v>2.1975859057316911</v>
      </c>
      <c r="P38" s="19">
        <f t="shared" si="30"/>
        <v>2.0998984365171736</v>
      </c>
      <c r="Q38" s="19">
        <f t="shared" si="18"/>
        <v>2.1487421711244323</v>
      </c>
      <c r="R38" s="19">
        <f>(SUM(Q$3:Q38)/($B38-$B$3+1))</f>
        <v>1.8582345606983575</v>
      </c>
      <c r="S38" s="19">
        <f t="shared" si="31"/>
        <v>7.5199728369268843</v>
      </c>
      <c r="T38" s="19">
        <f t="shared" si="32"/>
        <v>7.064251784257773</v>
      </c>
      <c r="U38" s="19">
        <f t="shared" si="24"/>
        <v>7.2921123105923282</v>
      </c>
      <c r="V38" s="19">
        <f>(SUM(U$3:U38)/($B38-$B$3+1))</f>
        <v>6.2535508155245108</v>
      </c>
      <c r="W38" s="18">
        <f t="shared" si="19"/>
        <v>7.311872369823921</v>
      </c>
      <c r="X38" s="18">
        <f t="shared" si="20"/>
        <v>6.2764150584712759</v>
      </c>
      <c r="Y38" s="20">
        <f t="shared" si="6"/>
        <v>6794.1437141475981</v>
      </c>
      <c r="Z38" s="20">
        <f>(SUM(Y$3:Y38)/($B38-$B$3+1))</f>
        <v>5183.7907599861946</v>
      </c>
      <c r="AA38" s="21">
        <f>SUM(Y$3:Y38)/1000</f>
        <v>186.61646735950299</v>
      </c>
      <c r="AB38" s="20">
        <f t="shared" si="7"/>
        <v>3394.9665753155173</v>
      </c>
      <c r="AC38" s="20">
        <f>(SUM(AB$3:AB38)/($B38-$B$3+1))</f>
        <v>3365.1289524361546</v>
      </c>
      <c r="AD38" s="18">
        <f t="shared" si="27"/>
        <v>5.5158677779111622</v>
      </c>
      <c r="AE38" s="18">
        <f t="shared" si="27"/>
        <v>4.8161436460110618</v>
      </c>
      <c r="AF38" s="20">
        <f t="shared" si="9"/>
        <v>5166.0057119611129</v>
      </c>
      <c r="AG38" s="20">
        <f>(SUM(AF$3:AF38)/($B38-$B$3+1))</f>
        <v>3941.555227914354</v>
      </c>
      <c r="AH38" s="22">
        <f>SUM(AF$3:AF38)/1000</f>
        <v>141.89598820491673</v>
      </c>
      <c r="AI38" s="20">
        <v>2581.4020806590206</v>
      </c>
      <c r="AJ38" s="20">
        <f>(SUM(AI$3:AI38)/($B38-$B$3+1))</f>
        <v>2558.7146991858926</v>
      </c>
      <c r="AK38" s="21">
        <f>SUM(AI$3:AI38)/1000</f>
        <v>92.113729170692139</v>
      </c>
      <c r="AL38" s="23">
        <f t="shared" si="21"/>
        <v>2.9149825260172832</v>
      </c>
      <c r="AM38" s="23">
        <f t="shared" si="22"/>
        <v>3.0803655320580416</v>
      </c>
      <c r="AN38" s="24">
        <f t="shared" si="10"/>
        <v>0.98962682434574722</v>
      </c>
      <c r="AO38" s="24">
        <f t="shared" si="11"/>
        <v>1.045773802109105</v>
      </c>
      <c r="AP38" s="24">
        <f t="shared" si="25"/>
        <v>1.017700313227426</v>
      </c>
      <c r="AQ38" s="24">
        <f>(SUM(AP$3:AP38)/($B38-$B$3+1))</f>
        <v>1.1596733919846587</v>
      </c>
      <c r="AR38" s="21">
        <f t="shared" si="28"/>
        <v>21.146069236806717</v>
      </c>
      <c r="AS38" s="21">
        <f t="shared" si="28"/>
        <v>19.511090077477487</v>
      </c>
      <c r="AT38" s="21">
        <f t="shared" si="26"/>
        <v>20.3285796571421</v>
      </c>
      <c r="AU38" s="21">
        <f>(SUM(AT$3:AT38)/($B38-$B$3+1))</f>
        <v>17.595866656098909</v>
      </c>
      <c r="AV38" s="22">
        <f>SUM(AT$3:AT38)/1000</f>
        <v>0.63345119961956076</v>
      </c>
    </row>
    <row r="39" spans="1:48" ht="15.6">
      <c r="A39" s="17" t="s">
        <v>63</v>
      </c>
      <c r="B39" s="17">
        <v>96</v>
      </c>
      <c r="C39" s="18">
        <f t="shared" si="0"/>
        <v>52.426605172365491</v>
      </c>
      <c r="D39" s="18">
        <f t="shared" si="1"/>
        <v>50.385960999800552</v>
      </c>
      <c r="E39" s="18">
        <f t="shared" si="13"/>
        <v>51.406283086083022</v>
      </c>
      <c r="F39" s="19">
        <f t="shared" si="23"/>
        <v>0.97702617107104572</v>
      </c>
      <c r="G39" s="19">
        <f t="shared" si="23"/>
        <v>0.89239216041274005</v>
      </c>
      <c r="H39" s="19">
        <f t="shared" si="14"/>
        <v>0.93470916574189289</v>
      </c>
      <c r="I39" s="19">
        <f>(SUM(H$3:H39)/($B39-$B$3+1))</f>
        <v>0.82441796392740641</v>
      </c>
      <c r="J39" s="19"/>
      <c r="K39" s="19">
        <f t="shared" si="15"/>
        <v>2.164467275999951</v>
      </c>
      <c r="L39" s="19">
        <f t="shared" si="16"/>
        <v>1.8837028172670753</v>
      </c>
      <c r="M39" s="19">
        <f t="shared" si="17"/>
        <v>2.0240850466335134</v>
      </c>
      <c r="N39" s="19">
        <f>(SUM(M$3:M39)/($B39-$B$3+1))</f>
        <v>1.5521381671341099</v>
      </c>
      <c r="O39" s="19">
        <f t="shared" si="29"/>
        <v>2.2153626382670959</v>
      </c>
      <c r="P39" s="19">
        <f t="shared" si="30"/>
        <v>2.1108464426624325</v>
      </c>
      <c r="Q39" s="19">
        <f t="shared" si="18"/>
        <v>2.1631045404647642</v>
      </c>
      <c r="R39" s="19">
        <f>(SUM(Q$3:Q39)/($B39-$B$3+1))</f>
        <v>1.866474289881233</v>
      </c>
      <c r="S39" s="19">
        <f t="shared" si="31"/>
        <v>7.5847135055061052</v>
      </c>
      <c r="T39" s="19">
        <f t="shared" si="32"/>
        <v>7.105272224666308</v>
      </c>
      <c r="U39" s="19">
        <f t="shared" si="24"/>
        <v>7.3449928650862066</v>
      </c>
      <c r="V39" s="19">
        <f>(SUM(U$3:U39)/($B39-$B$3+1))</f>
        <v>6.2830492492964485</v>
      </c>
      <c r="W39" s="18">
        <f t="shared" si="19"/>
        <v>7.4104635949554787</v>
      </c>
      <c r="X39" s="18">
        <f t="shared" si="20"/>
        <v>6.340689230890602</v>
      </c>
      <c r="Y39" s="20">
        <f t="shared" si="6"/>
        <v>6875.5764129230402</v>
      </c>
      <c r="Z39" s="20">
        <f>(SUM(Y$3:Y39)/($B39-$B$3+1))</f>
        <v>5229.5146965520553</v>
      </c>
      <c r="AA39" s="21">
        <f>SUM(Y$3:Y39)/1000</f>
        <v>193.49204377242606</v>
      </c>
      <c r="AB39" s="20">
        <f t="shared" si="7"/>
        <v>3396.8811855799217</v>
      </c>
      <c r="AC39" s="20">
        <f>(SUM(AB$3:AB39)/($B39-$B$3+1))</f>
        <v>3365.9871208995</v>
      </c>
      <c r="AD39" s="18">
        <f t="shared" si="27"/>
        <v>5.5905113526889902</v>
      </c>
      <c r="AE39" s="18">
        <f t="shared" si="27"/>
        <v>4.8653366589516676</v>
      </c>
      <c r="AF39" s="20">
        <f t="shared" si="9"/>
        <v>5227.9240058203286</v>
      </c>
      <c r="AG39" s="20">
        <f>(SUM(AF$3:AF39)/($B39-$B$3+1))</f>
        <v>3976.3219516415425</v>
      </c>
      <c r="AH39" s="22">
        <f>SUM(AF$3:AF39)/1000</f>
        <v>147.12391221073707</v>
      </c>
      <c r="AI39" s="20">
        <v>2582.8578767060631</v>
      </c>
      <c r="AJ39" s="20">
        <f>(SUM(AI$3:AI39)/($B39-$B$3+1))</f>
        <v>2559.3672174972489</v>
      </c>
      <c r="AK39" s="21">
        <f>SUM(AI$3:AI39)/1000</f>
        <v>94.696587047398211</v>
      </c>
      <c r="AL39" s="23">
        <f t="shared" si="21"/>
        <v>2.8906965487263792</v>
      </c>
      <c r="AM39" s="23">
        <f t="shared" si="22"/>
        <v>3.0555054527829748</v>
      </c>
      <c r="AN39" s="24">
        <f t="shared" si="10"/>
        <v>0.98193527195894514</v>
      </c>
      <c r="AO39" s="24">
        <f t="shared" si="11"/>
        <v>1.0379188984995347</v>
      </c>
      <c r="AP39" s="24">
        <f t="shared" si="25"/>
        <v>1.0099270852292399</v>
      </c>
      <c r="AQ39" s="24">
        <f>(SUM(AP$3:AP39)/($B39-$B$3+1))</f>
        <v>1.1556261945047828</v>
      </c>
      <c r="AR39" s="21">
        <f t="shared" si="28"/>
        <v>21.253667633052491</v>
      </c>
      <c r="AS39" s="21">
        <f t="shared" si="28"/>
        <v>19.551307531983131</v>
      </c>
      <c r="AT39" s="21">
        <f t="shared" si="26"/>
        <v>20.402487582517811</v>
      </c>
      <c r="AU39" s="21">
        <f>(SUM(AT$3:AT39)/($B39-$B$3+1))</f>
        <v>17.671721275731851</v>
      </c>
      <c r="AV39" s="22">
        <f>SUM(AT$3:AT39)/1000</f>
        <v>0.65385368720207848</v>
      </c>
    </row>
    <row r="40" spans="1:48" ht="15.6">
      <c r="A40" s="17" t="s">
        <v>63</v>
      </c>
      <c r="B40" s="17">
        <v>97</v>
      </c>
      <c r="C40" s="18">
        <f t="shared" si="0"/>
        <v>53.403631343436537</v>
      </c>
      <c r="D40" s="18">
        <f t="shared" si="1"/>
        <v>51.278353160213292</v>
      </c>
      <c r="E40" s="18">
        <f t="shared" si="13"/>
        <v>52.340992251824915</v>
      </c>
      <c r="F40" s="19">
        <f t="shared" si="23"/>
        <v>0.98155217584108811</v>
      </c>
      <c r="G40" s="19">
        <f t="shared" si="23"/>
        <v>0.89617450565863521</v>
      </c>
      <c r="H40" s="19">
        <f t="shared" si="14"/>
        <v>0.93886334074986166</v>
      </c>
      <c r="I40" s="19">
        <f>(SUM(H$3:H40)/($B40-$B$3+1))</f>
        <v>0.82742968437010267</v>
      </c>
      <c r="J40" s="19"/>
      <c r="K40" s="19">
        <f t="shared" si="15"/>
        <v>2.1916381818164417</v>
      </c>
      <c r="L40" s="19">
        <f t="shared" si="16"/>
        <v>1.9014832044256003</v>
      </c>
      <c r="M40" s="19">
        <f t="shared" si="17"/>
        <v>2.046560693121021</v>
      </c>
      <c r="N40" s="19">
        <f>(SUM(M$3:M40)/($B40-$B$3+1))</f>
        <v>1.5651492862390288</v>
      </c>
      <c r="O40" s="19">
        <f t="shared" si="29"/>
        <v>2.2328290189346642</v>
      </c>
      <c r="P40" s="19">
        <f t="shared" si="30"/>
        <v>2.1217778372618654</v>
      </c>
      <c r="Q40" s="19">
        <f t="shared" si="18"/>
        <v>2.1773034280982646</v>
      </c>
      <c r="R40" s="19">
        <f>(SUM(Q$3:Q40)/($B40-$B$3+1))</f>
        <v>1.8746540040448394</v>
      </c>
      <c r="S40" s="19">
        <f t="shared" si="31"/>
        <v>7.6485502766160547</v>
      </c>
      <c r="T40" s="19">
        <f t="shared" si="32"/>
        <v>7.1462370490463627</v>
      </c>
      <c r="U40" s="19">
        <f t="shared" si="24"/>
        <v>7.3973936628312087</v>
      </c>
      <c r="V40" s="19">
        <f>(SUM(U$3:U40)/($B40-$B$3+1))</f>
        <v>6.3123741022842053</v>
      </c>
      <c r="W40" s="18">
        <f t="shared" si="19"/>
        <v>7.5074511660424452</v>
      </c>
      <c r="X40" s="18">
        <f t="shared" si="20"/>
        <v>6.4042754547485483</v>
      </c>
      <c r="Y40" s="20">
        <f t="shared" si="6"/>
        <v>6955.8633103954971</v>
      </c>
      <c r="Z40" s="20">
        <f>(SUM(Y$3:Y40)/($B40-$B$3+1))</f>
        <v>5274.9449232321467</v>
      </c>
      <c r="AA40" s="21">
        <f>SUM(Y$3:Y40)/1000</f>
        <v>200.44790708282156</v>
      </c>
      <c r="AB40" s="20">
        <f t="shared" si="7"/>
        <v>3398.8062674006269</v>
      </c>
      <c r="AC40" s="20">
        <f>(SUM(AB$3:AB40)/($B40-$B$3+1))</f>
        <v>3366.8507826495297</v>
      </c>
      <c r="AD40" s="18">
        <f t="shared" si="27"/>
        <v>5.6638979691893185</v>
      </c>
      <c r="AE40" s="18">
        <f t="shared" si="27"/>
        <v>4.9140441836378672</v>
      </c>
      <c r="AF40" s="20">
        <f t="shared" si="9"/>
        <v>5288.9710764135925</v>
      </c>
      <c r="AG40" s="20">
        <f>(SUM(AF$3:AF40)/($B40-$B$3+1))</f>
        <v>4010.865349661859</v>
      </c>
      <c r="AH40" s="22">
        <f>SUM(AF$3:AF40)/1000</f>
        <v>152.41288328715063</v>
      </c>
      <c r="AI40" s="20">
        <v>2584.3216349219874</v>
      </c>
      <c r="AJ40" s="20">
        <f>(SUM(AI$3:AI40)/($B40-$B$3+1))</f>
        <v>2560.0239126926367</v>
      </c>
      <c r="AK40" s="21">
        <f>SUM(AI$3:AI40)/1000</f>
        <v>97.280908682320188</v>
      </c>
      <c r="AL40" s="23">
        <f t="shared" si="21"/>
        <v>2.8665709052037029</v>
      </c>
      <c r="AM40" s="23">
        <f t="shared" si="22"/>
        <v>3.0308447542174415</v>
      </c>
      <c r="AN40" s="24">
        <f t="shared" si="10"/>
        <v>0.97429191585546349</v>
      </c>
      <c r="AO40" s="24">
        <f t="shared" si="11"/>
        <v>1.0301254146152554</v>
      </c>
      <c r="AP40" s="24">
        <f t="shared" si="25"/>
        <v>1.0022086652353595</v>
      </c>
      <c r="AQ40" s="24">
        <f>(SUM(AP$3:AP40)/($B40-$B$3+1))</f>
        <v>1.1515888911029557</v>
      </c>
      <c r="AR40" s="21">
        <f t="shared" si="28"/>
        <v>21.352953630239256</v>
      </c>
      <c r="AS40" s="21">
        <f t="shared" si="28"/>
        <v>19.587661743428662</v>
      </c>
      <c r="AT40" s="21">
        <f t="shared" si="26"/>
        <v>20.470307686833959</v>
      </c>
      <c r="AU40" s="21">
        <f>(SUM(AT$3:AT40)/($B40-$B$3+1))</f>
        <v>17.745368286550327</v>
      </c>
      <c r="AV40" s="22">
        <f>SUM(AT$3:AT40)/1000</f>
        <v>0.67432399488891248</v>
      </c>
    </row>
    <row r="41" spans="1:48" ht="15.6">
      <c r="A41" s="17" t="s">
        <v>63</v>
      </c>
      <c r="B41" s="17">
        <v>98</v>
      </c>
      <c r="C41" s="18">
        <f t="shared" si="0"/>
        <v>54.385183519277625</v>
      </c>
      <c r="D41" s="18">
        <f t="shared" si="1"/>
        <v>52.174527665871928</v>
      </c>
      <c r="E41" s="18">
        <f t="shared" si="13"/>
        <v>53.279855592574776</v>
      </c>
      <c r="F41" s="19">
        <f t="shared" si="23"/>
        <v>0.9859057050632174</v>
      </c>
      <c r="G41" s="19">
        <f t="shared" si="23"/>
        <v>0.89982338259810035</v>
      </c>
      <c r="H41" s="19">
        <f t="shared" si="14"/>
        <v>0.94286454383065887</v>
      </c>
      <c r="I41" s="19">
        <f>(SUM(H$3:H41)/($B41-$B$3+1))</f>
        <v>0.83038955256139879</v>
      </c>
      <c r="J41" s="19"/>
      <c r="K41" s="19">
        <f t="shared" si="15"/>
        <v>2.2182783951036962</v>
      </c>
      <c r="L41" s="19">
        <f t="shared" si="16"/>
        <v>1.9190491188805405</v>
      </c>
      <c r="M41" s="19">
        <f t="shared" si="17"/>
        <v>2.0686637569921182</v>
      </c>
      <c r="N41" s="19">
        <f>(SUM(M$3:M41)/($B41-$B$3+1))</f>
        <v>1.5780599136942361</v>
      </c>
      <c r="O41" s="19">
        <f t="shared" si="29"/>
        <v>2.2499904237408361</v>
      </c>
      <c r="P41" s="19">
        <f t="shared" si="30"/>
        <v>2.1326953222082139</v>
      </c>
      <c r="Q41" s="19">
        <f t="shared" si="18"/>
        <v>2.1913428729745252</v>
      </c>
      <c r="R41" s="19">
        <f>(SUM(Q$3:Q41)/($B41-$B$3+1))</f>
        <v>1.8827742314532929</v>
      </c>
      <c r="S41" s="19">
        <f t="shared" si="31"/>
        <v>7.7114966141111152</v>
      </c>
      <c r="T41" s="19">
        <f t="shared" si="32"/>
        <v>7.1871547934889168</v>
      </c>
      <c r="U41" s="19">
        <f t="shared" si="24"/>
        <v>7.4493257038000156</v>
      </c>
      <c r="V41" s="19">
        <f>(SUM(U$3:U41)/($B41-$B$3+1))</f>
        <v>6.3415267074512771</v>
      </c>
      <c r="W41" s="18">
        <f t="shared" si="19"/>
        <v>7.6028085064278326</v>
      </c>
      <c r="X41" s="18">
        <f t="shared" si="20"/>
        <v>6.4671699375333489</v>
      </c>
      <c r="Y41" s="20">
        <f t="shared" si="6"/>
        <v>7034.9892219805906</v>
      </c>
      <c r="Z41" s="20">
        <f>(SUM(Y$3:Y41)/($B41-$B$3+1))</f>
        <v>5320.0742642256964</v>
      </c>
      <c r="AA41" s="21">
        <f>SUM(Y$3:Y41)/1000</f>
        <v>207.48289630480215</v>
      </c>
      <c r="AB41" s="20">
        <f t="shared" si="7"/>
        <v>3400.7407913452384</v>
      </c>
      <c r="AC41" s="20">
        <f>(SUM(AB$3:AB41)/($B41-$B$3+1))</f>
        <v>3367.7197572314712</v>
      </c>
      <c r="AD41" s="18">
        <f t="shared" si="27"/>
        <v>5.7360077979427038</v>
      </c>
      <c r="AE41" s="18">
        <f t="shared" si="27"/>
        <v>4.9622629579905757</v>
      </c>
      <c r="AF41" s="20">
        <f t="shared" si="9"/>
        <v>5349.1353779666397</v>
      </c>
      <c r="AG41" s="20">
        <f>(SUM(AF$3:AF41)/($B41-$B$3+1))</f>
        <v>4045.1799657722386</v>
      </c>
      <c r="AH41" s="22">
        <f>SUM(AF$3:AF41)/1000</f>
        <v>157.7620186651173</v>
      </c>
      <c r="AI41" s="20">
        <v>2585.7925725659729</v>
      </c>
      <c r="AJ41" s="20">
        <f>(SUM(AI$3:AI41)/($B41-$B$3+1))</f>
        <v>2560.6846475611837</v>
      </c>
      <c r="AK41" s="21">
        <f>SUM(AI$3:AI41)/1000</f>
        <v>99.866701254886166</v>
      </c>
      <c r="AL41" s="23">
        <f t="shared" si="21"/>
        <v>2.8426138147458655</v>
      </c>
      <c r="AM41" s="23">
        <f t="shared" si="22"/>
        <v>3.0063911533825456</v>
      </c>
      <c r="AN41" s="24">
        <f t="shared" si="10"/>
        <v>0.96669927538477618</v>
      </c>
      <c r="AO41" s="24">
        <f t="shared" si="11"/>
        <v>1.0223957030047484</v>
      </c>
      <c r="AP41" s="24">
        <f t="shared" si="25"/>
        <v>0.99454748919476232</v>
      </c>
      <c r="AQ41" s="24">
        <f>(SUM(AP$3:AP41)/($B41-$B$3+1))</f>
        <v>1.1475621884899252</v>
      </c>
      <c r="AR41" s="21">
        <f t="shared" si="28"/>
        <v>21.444081171484473</v>
      </c>
      <c r="AS41" s="21">
        <f t="shared" si="28"/>
        <v>19.620275729985131</v>
      </c>
      <c r="AT41" s="21">
        <f t="shared" si="26"/>
        <v>20.532178450734804</v>
      </c>
      <c r="AU41" s="21">
        <f>(SUM(AT$3:AT41)/($B41-$B$3+1))</f>
        <v>17.816824957426853</v>
      </c>
      <c r="AV41" s="22">
        <f>SUM(AT$3:AT41)/1000</f>
        <v>0.69485617333964733</v>
      </c>
    </row>
    <row r="42" spans="1:48" ht="15.6">
      <c r="A42" s="17" t="s">
        <v>63</v>
      </c>
      <c r="B42" s="17">
        <v>99</v>
      </c>
      <c r="C42" s="18">
        <f t="shared" si="0"/>
        <v>55.371089224340842</v>
      </c>
      <c r="D42" s="18">
        <f t="shared" si="1"/>
        <v>53.074351048470028</v>
      </c>
      <c r="E42" s="18">
        <f t="shared" si="13"/>
        <v>54.222720136405435</v>
      </c>
      <c r="F42" s="19">
        <f t="shared" si="23"/>
        <v>0.99008755819980365</v>
      </c>
      <c r="G42" s="19">
        <f t="shared" si="23"/>
        <v>0.90333961710548749</v>
      </c>
      <c r="H42" s="19">
        <f t="shared" si="14"/>
        <v>0.94671358765264557</v>
      </c>
      <c r="I42" s="19">
        <f>(SUM(H$3:H42)/($B42-$B$3+1))</f>
        <v>0.83329765343868001</v>
      </c>
      <c r="J42" s="19"/>
      <c r="K42" s="19">
        <f t="shared" si="15"/>
        <v>2.2443825835189855</v>
      </c>
      <c r="L42" s="19">
        <f t="shared" si="16"/>
        <v>1.9364002340695774</v>
      </c>
      <c r="M42" s="19">
        <f t="shared" si="17"/>
        <v>2.0903914087942814</v>
      </c>
      <c r="N42" s="19">
        <f>(SUM(M$3:M42)/($B42-$B$3+1))</f>
        <v>1.5908682010717372</v>
      </c>
      <c r="O42" s="19">
        <f t="shared" si="29"/>
        <v>2.2668526282662973</v>
      </c>
      <c r="P42" s="19">
        <f t="shared" si="30"/>
        <v>2.1436015839471971</v>
      </c>
      <c r="Q42" s="19">
        <f t="shared" si="18"/>
        <v>2.2052271061067472</v>
      </c>
      <c r="R42" s="19">
        <f>(SUM(Q$3:Q42)/($B42-$B$3+1))</f>
        <v>1.8908355533196293</v>
      </c>
      <c r="S42" s="19">
        <f t="shared" si="31"/>
        <v>7.7735671781283182</v>
      </c>
      <c r="T42" s="19">
        <f t="shared" si="32"/>
        <v>7.2280339726282623</v>
      </c>
      <c r="U42" s="19">
        <f t="shared" si="24"/>
        <v>7.5008005753782907</v>
      </c>
      <c r="V42" s="19">
        <f>(SUM(U$3:U42)/($B42-$B$3+1))</f>
        <v>6.3705085541494526</v>
      </c>
      <c r="W42" s="18">
        <f t="shared" si="19"/>
        <v>7.6965121458952046</v>
      </c>
      <c r="X42" s="18">
        <f t="shared" si="20"/>
        <v>6.5293694412594698</v>
      </c>
      <c r="Y42" s="20">
        <f t="shared" si="6"/>
        <v>7112.940793577337</v>
      </c>
      <c r="Z42" s="20">
        <f>(SUM(Y$3:Y42)/($B42-$B$3+1))</f>
        <v>5364.8959274594872</v>
      </c>
      <c r="AA42" s="21">
        <f>SUM(Y$3:Y42)/1000</f>
        <v>214.59583709837949</v>
      </c>
      <c r="AB42" s="20">
        <f t="shared" si="7"/>
        <v>3402.6837096886156</v>
      </c>
      <c r="AC42" s="20">
        <f>(SUM(AB$3:AB42)/($B42-$B$3+1))</f>
        <v>3368.5938560428999</v>
      </c>
      <c r="AD42" s="18">
        <f t="shared" si="27"/>
        <v>5.8068234866855155</v>
      </c>
      <c r="AE42" s="18">
        <f t="shared" si="27"/>
        <v>5.0099900263833224</v>
      </c>
      <c r="AF42" s="20">
        <f t="shared" si="9"/>
        <v>5408.4067565344185</v>
      </c>
      <c r="AG42" s="20">
        <f>(SUM(AF$3:AF42)/($B42-$B$3+1))</f>
        <v>4079.2606355412927</v>
      </c>
      <c r="AH42" s="22">
        <f>SUM(AF$3:AF42)/1000</f>
        <v>163.17042542165171</v>
      </c>
      <c r="AI42" s="20">
        <v>2587.2698929880976</v>
      </c>
      <c r="AJ42" s="20">
        <f>(SUM(AI$3:AI42)/($B42-$B$3+1))</f>
        <v>2561.3492786968568</v>
      </c>
      <c r="AK42" s="21">
        <f>SUM(AI$3:AI42)/1000</f>
        <v>102.45397114787427</v>
      </c>
      <c r="AL42" s="23">
        <f t="shared" si="21"/>
        <v>2.8188332993406027</v>
      </c>
      <c r="AM42" s="23">
        <f t="shared" si="22"/>
        <v>2.9821521761954002</v>
      </c>
      <c r="AN42" s="24">
        <f t="shared" si="10"/>
        <v>0.95915981479940826</v>
      </c>
      <c r="AO42" s="24">
        <f t="shared" si="11"/>
        <v>1.0147320629752543</v>
      </c>
      <c r="AP42" s="24">
        <f t="shared" si="25"/>
        <v>0.98694593888733129</v>
      </c>
      <c r="AQ42" s="24">
        <f>(SUM(AP$3:AP42)/($B42-$B$3+1))</f>
        <v>1.1435467822498604</v>
      </c>
      <c r="AR42" s="21">
        <f t="shared" si="28"/>
        <v>21.527215831470873</v>
      </c>
      <c r="AS42" s="21">
        <f t="shared" si="28"/>
        <v>19.649274042631873</v>
      </c>
      <c r="AT42" s="21">
        <f t="shared" si="26"/>
        <v>20.588244937051371</v>
      </c>
      <c r="AU42" s="21">
        <f>(SUM(AT$3:AT42)/($B42-$B$3+1))</f>
        <v>17.886110456917468</v>
      </c>
      <c r="AV42" s="22">
        <f>SUM(AT$3:AT42)/1000</f>
        <v>0.71544441827669869</v>
      </c>
    </row>
    <row r="43" spans="1:48" ht="15.6">
      <c r="A43" s="17" t="s">
        <v>63</v>
      </c>
      <c r="B43" s="17">
        <v>100</v>
      </c>
      <c r="C43" s="18">
        <f t="shared" si="0"/>
        <v>56.361176782540646</v>
      </c>
      <c r="D43" s="18">
        <f t="shared" si="1"/>
        <v>53.977690665575516</v>
      </c>
      <c r="E43" s="18">
        <f t="shared" si="13"/>
        <v>55.169433724058081</v>
      </c>
      <c r="F43" s="19">
        <f t="shared" si="23"/>
        <v>0.99409860688472662</v>
      </c>
      <c r="G43" s="19">
        <f t="shared" si="23"/>
        <v>0.90672407260721144</v>
      </c>
      <c r="H43" s="19">
        <f t="shared" si="14"/>
        <v>0.95041133974596903</v>
      </c>
      <c r="I43" s="19">
        <f>(SUM(H$3:H43)/($B43-$B$3+1))</f>
        <v>0.83615408481202858</v>
      </c>
      <c r="J43" s="19"/>
      <c r="K43" s="19">
        <f t="shared" si="15"/>
        <v>2.2699464129185438</v>
      </c>
      <c r="L43" s="19">
        <f t="shared" si="16"/>
        <v>1.953536372449848</v>
      </c>
      <c r="M43" s="19">
        <f t="shared" si="17"/>
        <v>2.1117413926841957</v>
      </c>
      <c r="N43" s="19">
        <f>(SUM(M$3:M43)/($B43-$B$3+1))</f>
        <v>1.6035724252574071</v>
      </c>
      <c r="O43" s="19">
        <f t="shared" si="29"/>
        <v>2.2834217825050844</v>
      </c>
      <c r="P43" s="19">
        <f t="shared" si="30"/>
        <v>2.1544992919760175</v>
      </c>
      <c r="Q43" s="19">
        <f t="shared" si="18"/>
        <v>2.2189605372405508</v>
      </c>
      <c r="R43" s="19">
        <f>(SUM(Q$3:Q43)/($B43-$B$3+1))</f>
        <v>1.8988386017079444</v>
      </c>
      <c r="S43" s="19">
        <f t="shared" si="31"/>
        <v>7.8347777596652781</v>
      </c>
      <c r="T43" s="19">
        <f t="shared" si="32"/>
        <v>7.2688830740469559</v>
      </c>
      <c r="U43" s="19">
        <f t="shared" si="24"/>
        <v>7.5518304168561166</v>
      </c>
      <c r="V43" s="19">
        <f>(SUM(U$3:U43)/($B43-$B$3+1))</f>
        <v>6.3993212825081507</v>
      </c>
      <c r="W43" s="18">
        <f t="shared" si="19"/>
        <v>7.7885416561346927</v>
      </c>
      <c r="X43" s="18">
        <f t="shared" si="20"/>
        <v>6.5908712642054823</v>
      </c>
      <c r="Y43" s="20">
        <f t="shared" si="6"/>
        <v>7189.7064601700877</v>
      </c>
      <c r="Z43" s="20">
        <f>(SUM(Y$3:Y43)/($B43-$B$3+1))</f>
        <v>5409.4035014280389</v>
      </c>
      <c r="AA43" s="21">
        <f>SUM(Y$3:Y43)/1000</f>
        <v>221.78554355854959</v>
      </c>
      <c r="AB43" s="20">
        <f t="shared" si="7"/>
        <v>3404.6339599525413</v>
      </c>
      <c r="AC43" s="20">
        <f>(SUM(AB$3:AB43)/($B43-$B$3+1))</f>
        <v>3369.4728829675255</v>
      </c>
      <c r="AD43" s="18">
        <f t="shared" si="27"/>
        <v>5.8763301057816042</v>
      </c>
      <c r="AE43" s="18">
        <f t="shared" si="27"/>
        <v>5.0572227312655809</v>
      </c>
      <c r="AF43" s="20">
        <f t="shared" si="9"/>
        <v>5466.7764185235919</v>
      </c>
      <c r="AG43" s="20">
        <f>(SUM(AF$3:AF43)/($B43-$B$3+1))</f>
        <v>4113.102483906715</v>
      </c>
      <c r="AH43" s="22">
        <f>SUM(AF$3:AF43)/1000</f>
        <v>168.63720184017532</v>
      </c>
      <c r="AI43" s="20">
        <v>2588.7527883207672</v>
      </c>
      <c r="AJ43" s="20">
        <f>(SUM(AI$3:AI43)/($B43-$B$3+1))</f>
        <v>2562.0176569803666</v>
      </c>
      <c r="AK43" s="21">
        <f>SUM(AI$3:AI43)/1000</f>
        <v>105.04272393619503</v>
      </c>
      <c r="AL43" s="23">
        <f t="shared" si="21"/>
        <v>2.7952371807114398</v>
      </c>
      <c r="AM43" s="23">
        <f t="shared" si="22"/>
        <v>2.9581351558872813</v>
      </c>
      <c r="AN43" s="24">
        <f t="shared" si="10"/>
        <v>0.95167594315721671</v>
      </c>
      <c r="AO43" s="24">
        <f t="shared" si="11"/>
        <v>1.0071367409863343</v>
      </c>
      <c r="AP43" s="24">
        <f t="shared" si="25"/>
        <v>0.97940634207177557</v>
      </c>
      <c r="AQ43" s="24">
        <f>(SUM(AP$3:AP43)/($B43-$B$3+1))</f>
        <v>1.1395433568796631</v>
      </c>
      <c r="AR43" s="21">
        <f t="shared" si="28"/>
        <v>21.60253393430596</v>
      </c>
      <c r="AS43" s="21">
        <f t="shared" si="28"/>
        <v>19.674782555474057</v>
      </c>
      <c r="AT43" s="21">
        <f t="shared" si="26"/>
        <v>20.63865824489001</v>
      </c>
      <c r="AU43" s="21">
        <f>(SUM(AT$3:AT43)/($B43-$B$3+1))</f>
        <v>17.953245768819237</v>
      </c>
      <c r="AV43" s="22">
        <f>SUM(AT$3:AT43)/1000</f>
        <v>0.73608307652158877</v>
      </c>
    </row>
    <row r="44" spans="1:48" ht="15.6">
      <c r="A44" s="17" t="s">
        <v>63</v>
      </c>
      <c r="B44" s="17">
        <v>101</v>
      </c>
      <c r="C44" s="18">
        <f t="shared" si="0"/>
        <v>57.355275389425373</v>
      </c>
      <c r="D44" s="18">
        <f t="shared" si="1"/>
        <v>54.884414738182727</v>
      </c>
      <c r="E44" s="18">
        <f t="shared" si="13"/>
        <v>56.11984506380405</v>
      </c>
      <c r="F44" s="19">
        <f t="shared" si="23"/>
        <v>0.99793979278133804</v>
      </c>
      <c r="G44" s="19">
        <f t="shared" si="23"/>
        <v>0.90997764883653787</v>
      </c>
      <c r="H44" s="19">
        <f t="shared" si="14"/>
        <v>0.95395872080893795</v>
      </c>
      <c r="I44" s="19">
        <f>(SUM(H$3:H44)/($B44-$B$3+1))</f>
        <v>0.8389589570976691</v>
      </c>
      <c r="J44" s="19"/>
      <c r="K44" s="19">
        <f t="shared" si="15"/>
        <v>2.2949665181620338</v>
      </c>
      <c r="L44" s="19">
        <f t="shared" si="16"/>
        <v>1.9704574996825339</v>
      </c>
      <c r="M44" s="19">
        <f t="shared" si="17"/>
        <v>2.132712008922284</v>
      </c>
      <c r="N44" s="19">
        <f>(SUM(M$3:M44)/($B44-$B$3+1))</f>
        <v>1.6161709867732375</v>
      </c>
      <c r="O44" s="19">
        <f t="shared" si="29"/>
        <v>2.2997043857383206</v>
      </c>
      <c r="P44" s="19">
        <f t="shared" si="30"/>
        <v>2.1653910974647395</v>
      </c>
      <c r="Q44" s="19">
        <f t="shared" si="18"/>
        <v>2.2325477416015298</v>
      </c>
      <c r="R44" s="19">
        <f>(SUM(Q$3:Q44)/($B44-$B$3+1))</f>
        <v>1.9067840574196966</v>
      </c>
      <c r="S44" s="19">
        <f t="shared" si="31"/>
        <v>7.895145215060392</v>
      </c>
      <c r="T44" s="19">
        <f t="shared" si="32"/>
        <v>7.309710553074293</v>
      </c>
      <c r="U44" s="19">
        <f t="shared" si="24"/>
        <v>7.6024278840673425</v>
      </c>
      <c r="V44" s="19">
        <f>(SUM(U$3:U44)/($B44-$B$3+1))</f>
        <v>6.4279666777833704</v>
      </c>
      <c r="W44" s="18">
        <f t="shared" si="19"/>
        <v>7.8788795798959406</v>
      </c>
      <c r="X44" s="18">
        <f t="shared" si="20"/>
        <v>6.6516732227621738</v>
      </c>
      <c r="Y44" s="20">
        <f t="shared" si="6"/>
        <v>7265.2764013290571</v>
      </c>
      <c r="Z44" s="20">
        <f>(SUM(Y$3:Y44)/($B44-$B$3+1))</f>
        <v>5453.5909514256828</v>
      </c>
      <c r="AA44" s="21">
        <f>SUM(Y$3:Y44)/1000</f>
        <v>229.05081995987865</v>
      </c>
      <c r="AB44" s="20">
        <f t="shared" si="7"/>
        <v>3406.5904683494487</v>
      </c>
      <c r="AC44" s="20">
        <f>(SUM(AB$3:AB44)/($B44-$B$3+1))</f>
        <v>3370.3566350004285</v>
      </c>
      <c r="AD44" s="18">
        <f t="shared" si="27"/>
        <v>5.9445150886022793</v>
      </c>
      <c r="AE44" s="18">
        <f t="shared" si="27"/>
        <v>5.1039587051114133</v>
      </c>
      <c r="AF44" s="20">
        <f t="shared" si="9"/>
        <v>5524.2368968568471</v>
      </c>
      <c r="AG44" s="20">
        <f>(SUM(AF$3:AF44)/($B44-$B$3+1))</f>
        <v>4146.7009223102896</v>
      </c>
      <c r="AH44" s="22">
        <f>SUM(AF$3:AF44)/1000</f>
        <v>174.16143873703214</v>
      </c>
      <c r="AI44" s="20">
        <v>2590.2404420971916</v>
      </c>
      <c r="AJ44" s="20">
        <f>(SUM(AI$3:AI44)/($B44-$B$3+1))</f>
        <v>2562.6896280545766</v>
      </c>
      <c r="AK44" s="21">
        <f>SUM(AI$3:AI44)/1000</f>
        <v>107.63296437829221</v>
      </c>
      <c r="AL44" s="23">
        <f t="shared" si="21"/>
        <v>2.7718330776414923</v>
      </c>
      <c r="AM44" s="23">
        <f t="shared" si="22"/>
        <v>2.9343472316219152</v>
      </c>
      <c r="AN44" s="24">
        <f t="shared" si="10"/>
        <v>0.9442500142149225</v>
      </c>
      <c r="AO44" s="24">
        <f t="shared" si="11"/>
        <v>0.99961193100708079</v>
      </c>
      <c r="AP44" s="24">
        <f t="shared" si="25"/>
        <v>0.9719309726110017</v>
      </c>
      <c r="AQ44" s="24">
        <f>(SUM(AP$3:AP44)/($B44-$B$3+1))</f>
        <v>1.1355525858256474</v>
      </c>
      <c r="AR44" s="21">
        <f t="shared" si="28"/>
        <v>21.670221673972716</v>
      </c>
      <c r="AS44" s="21">
        <f t="shared" si="28"/>
        <v>19.69692826225042</v>
      </c>
      <c r="AT44" s="21">
        <f t="shared" si="26"/>
        <v>20.683574968111568</v>
      </c>
      <c r="AU44" s="21">
        <f>(SUM(AT$3:AT44)/($B44-$B$3+1))</f>
        <v>18.018253606897627</v>
      </c>
      <c r="AV44" s="22">
        <f>SUM(AT$3:AT44)/1000</f>
        <v>0.75676665148970024</v>
      </c>
    </row>
    <row r="45" spans="1:48" ht="15.6">
      <c r="A45" s="17" t="s">
        <v>63</v>
      </c>
      <c r="B45" s="17">
        <v>102</v>
      </c>
      <c r="C45" s="18">
        <f t="shared" si="0"/>
        <v>58.353215182206711</v>
      </c>
      <c r="D45" s="18">
        <f t="shared" si="1"/>
        <v>55.794392387019265</v>
      </c>
      <c r="E45" s="18">
        <f t="shared" si="13"/>
        <v>57.073803784612991</v>
      </c>
      <c r="F45" s="19">
        <f t="shared" si="23"/>
        <v>1.0016121254248915</v>
      </c>
      <c r="G45" s="19">
        <f t="shared" si="23"/>
        <v>0.91310128059028983</v>
      </c>
      <c r="H45" s="19">
        <f t="shared" si="14"/>
        <v>0.95735670300759068</v>
      </c>
      <c r="I45" s="19">
        <f>(SUM(H$3:H45)/($B45-$B$3+1))</f>
        <v>0.84171239304906265</v>
      </c>
      <c r="J45" s="19"/>
      <c r="K45" s="19">
        <f t="shared" si="15"/>
        <v>2.3194404720835045</v>
      </c>
      <c r="L45" s="19">
        <f t="shared" si="16"/>
        <v>1.9871637188948412</v>
      </c>
      <c r="M45" s="19">
        <f t="shared" si="17"/>
        <v>2.1533020954891731</v>
      </c>
      <c r="N45" s="19">
        <f>(SUM(M$3:M45)/($B45-$B$3+1))</f>
        <v>1.628662407906166</v>
      </c>
      <c r="O45" s="19">
        <f t="shared" si="29"/>
        <v>2.3157072615305849</v>
      </c>
      <c r="P45" s="19">
        <f t="shared" si="30"/>
        <v>2.1762796319924176</v>
      </c>
      <c r="Q45" s="19">
        <f t="shared" si="18"/>
        <v>2.245993446761501</v>
      </c>
      <c r="R45" s="19">
        <f>(SUM(Q$3:Q45)/($B45-$B$3+1))</f>
        <v>1.914672647869506</v>
      </c>
      <c r="S45" s="19">
        <f t="shared" si="31"/>
        <v>7.9546874005905535</v>
      </c>
      <c r="T45" s="19">
        <f t="shared" si="32"/>
        <v>7.3505248279534561</v>
      </c>
      <c r="U45" s="19">
        <f t="shared" si="24"/>
        <v>7.6526061142720048</v>
      </c>
      <c r="V45" s="19">
        <f>(SUM(U$3:U45)/($B45-$B$3+1))</f>
        <v>6.456446664678456</v>
      </c>
      <c r="W45" s="18">
        <f t="shared" si="19"/>
        <v>7.9675113543961098</v>
      </c>
      <c r="X45" s="18">
        <f t="shared" si="20"/>
        <v>6.7117736334150209</v>
      </c>
      <c r="Y45" s="20">
        <f t="shared" si="6"/>
        <v>7339.6424939055651</v>
      </c>
      <c r="Z45" s="20">
        <f>(SUM(Y$3:Y45)/($B45-$B$3+1))</f>
        <v>5497.4526152042845</v>
      </c>
      <c r="AA45" s="21">
        <f>SUM(Y$3:Y45)/1000</f>
        <v>236.39046245378421</v>
      </c>
      <c r="AB45" s="20">
        <f t="shared" si="7"/>
        <v>3408.5521531237787</v>
      </c>
      <c r="AC45" s="20">
        <f>(SUM(AB$3:AB45)/($B45-$B$3+1))</f>
        <v>3371.244902863762</v>
      </c>
      <c r="AD45" s="18">
        <f t="shared" si="27"/>
        <v>6.0113681673336403</v>
      </c>
      <c r="AE45" s="18">
        <f t="shared" si="27"/>
        <v>5.1501958626747282</v>
      </c>
      <c r="AF45" s="20">
        <f t="shared" si="9"/>
        <v>5580.7820150041834</v>
      </c>
      <c r="AG45" s="20">
        <f>(SUM(AF$3:AF45)/($B45-$B$3+1))</f>
        <v>4180.0516453961936</v>
      </c>
      <c r="AH45" s="22">
        <f>SUM(AF$3:AF45)/1000</f>
        <v>179.74222075203633</v>
      </c>
      <c r="AI45" s="20">
        <v>2591.7320317920276</v>
      </c>
      <c r="AJ45" s="20">
        <f>(SUM(AI$3:AI45)/($B45-$B$3+1))</f>
        <v>2563.3650327926571</v>
      </c>
      <c r="AK45" s="21">
        <f>SUM(AI$3:AI45)/1000</f>
        <v>110.22469641008425</v>
      </c>
      <c r="AL45" s="23">
        <f t="shared" si="21"/>
        <v>2.7486284035729573</v>
      </c>
      <c r="AM45" s="23">
        <f t="shared" si="22"/>
        <v>2.9107953473104278</v>
      </c>
      <c r="AN45" s="24">
        <f t="shared" si="10"/>
        <v>0.93688432631357776</v>
      </c>
      <c r="AO45" s="24">
        <f t="shared" si="11"/>
        <v>0.99215977483776352</v>
      </c>
      <c r="AP45" s="24">
        <f t="shared" si="25"/>
        <v>0.96452205057567064</v>
      </c>
      <c r="AQ45" s="24">
        <f>(SUM(AP$3:AP45)/($B45-$B$3+1))</f>
        <v>1.1315751315175084</v>
      </c>
      <c r="AR45" s="21">
        <f t="shared" si="28"/>
        <v>21.730474241124011</v>
      </c>
      <c r="AS45" s="21">
        <f t="shared" si="28"/>
        <v>19.715839079044784</v>
      </c>
      <c r="AT45" s="21">
        <f t="shared" si="26"/>
        <v>20.723156660084399</v>
      </c>
      <c r="AU45" s="21">
        <f>(SUM(AT$3:AT45)/($B45-$B$3+1))</f>
        <v>18.08115832906476</v>
      </c>
      <c r="AV45" s="22">
        <f>SUM(AT$3:AT45)/1000</f>
        <v>0.77748980814978474</v>
      </c>
    </row>
    <row r="46" spans="1:48" ht="15.6">
      <c r="A46" s="17" t="s">
        <v>63</v>
      </c>
      <c r="B46" s="17">
        <v>103</v>
      </c>
      <c r="C46" s="18">
        <f t="shared" si="0"/>
        <v>59.354827307631602</v>
      </c>
      <c r="D46" s="18">
        <f t="shared" si="1"/>
        <v>56.707493667609555</v>
      </c>
      <c r="E46" s="18">
        <f t="shared" si="13"/>
        <v>58.031160487620582</v>
      </c>
      <c r="F46" s="19">
        <f t="shared" si="23"/>
        <v>1.0051166800531988</v>
      </c>
      <c r="G46" s="19">
        <f t="shared" si="23"/>
        <v>0.91609593648755094</v>
      </c>
      <c r="H46" s="19">
        <f t="shared" si="14"/>
        <v>0.96060630827037485</v>
      </c>
      <c r="I46" s="19">
        <f>(SUM(H$3:H46)/($B46-$B$3+1))</f>
        <v>0.84441452748591062</v>
      </c>
      <c r="J46" s="19"/>
      <c r="K46" s="19">
        <f t="shared" si="15"/>
        <v>2.3433667528483171</v>
      </c>
      <c r="L46" s="19">
        <f t="shared" si="16"/>
        <v>2.0036552650249968</v>
      </c>
      <c r="M46" s="19">
        <f t="shared" si="17"/>
        <v>2.1735110089366572</v>
      </c>
      <c r="N46" s="19">
        <f>(SUM(M$3:M46)/($B46-$B$3+1))</f>
        <v>1.6410453306568591</v>
      </c>
      <c r="O46" s="19">
        <f t="shared" si="29"/>
        <v>2.3314375329283039</v>
      </c>
      <c r="P46" s="19">
        <f t="shared" si="30"/>
        <v>2.1871675063938296</v>
      </c>
      <c r="Q46" s="19">
        <f t="shared" si="18"/>
        <v>2.259302519661067</v>
      </c>
      <c r="R46" s="19">
        <f>(SUM(Q$3:Q46)/($B46-$B$3+1))</f>
        <v>1.9225051449556778</v>
      </c>
      <c r="S46" s="19">
        <f t="shared" si="31"/>
        <v>8.0134231073780988</v>
      </c>
      <c r="T46" s="19">
        <f t="shared" si="32"/>
        <v>7.391334275365721</v>
      </c>
      <c r="U46" s="19">
        <f t="shared" si="24"/>
        <v>7.7023786913719103</v>
      </c>
      <c r="V46" s="19">
        <f>(SUM(U$3:U46)/($B46-$B$3+1))</f>
        <v>6.4847633016487611</v>
      </c>
      <c r="W46" s="18">
        <f t="shared" si="19"/>
        <v>8.0544252295494623</v>
      </c>
      <c r="X46" s="18">
        <f t="shared" si="20"/>
        <v>6.7711712948836942</v>
      </c>
      <c r="Y46" s="20">
        <f t="shared" si="6"/>
        <v>7412.7982622165782</v>
      </c>
      <c r="Z46" s="20">
        <f>(SUM(Y$3:Y46)/($B46-$B$3+1))</f>
        <v>5540.9831980909275</v>
      </c>
      <c r="AA46" s="21">
        <f>SUM(Y$3:Y46)/1000</f>
        <v>243.80326071600081</v>
      </c>
      <c r="AB46" s="20">
        <f t="shared" si="7"/>
        <v>3410.5179277850211</v>
      </c>
      <c r="AC46" s="20">
        <f>(SUM(AB$3:AB46)/($B46-$B$3+1))</f>
        <v>3372.1374716119726</v>
      </c>
      <c r="AD46" s="18">
        <f t="shared" si="27"/>
        <v>6.0768813046782606</v>
      </c>
      <c r="AE46" s="18">
        <f t="shared" si="27"/>
        <v>5.1959323935320434</v>
      </c>
      <c r="AF46" s="20">
        <f t="shared" si="9"/>
        <v>5636.4068491051512</v>
      </c>
      <c r="AG46" s="20">
        <f>(SUM(AF$3:AF46)/($B46-$B$3+1))</f>
        <v>4213.1506272986699</v>
      </c>
      <c r="AH46" s="22">
        <f>SUM(AF$3:AF46)/1000</f>
        <v>185.37862760114149</v>
      </c>
      <c r="AI46" s="20">
        <v>2593.2267312796553</v>
      </c>
      <c r="AJ46" s="20">
        <f>(SUM(AI$3:AI46)/($B46-$B$3+1))</f>
        <v>2564.0437077582706</v>
      </c>
      <c r="AK46" s="21">
        <f>SUM(AI$3:AI46)/1000</f>
        <v>112.81792314136391</v>
      </c>
      <c r="AL46" s="23">
        <f t="shared" si="21"/>
        <v>2.7256303644785014</v>
      </c>
      <c r="AM46" s="23">
        <f t="shared" si="22"/>
        <v>2.8874862506192693</v>
      </c>
      <c r="AN46" s="24">
        <f t="shared" si="10"/>
        <v>0.92958112225691514</v>
      </c>
      <c r="AO46" s="24">
        <f t="shared" si="11"/>
        <v>0.98478236239697714</v>
      </c>
      <c r="AP46" s="24">
        <f t="shared" si="25"/>
        <v>0.95718174232694619</v>
      </c>
      <c r="AQ46" s="24">
        <f>(SUM(AP$3:AP46)/($B46-$B$3+1))</f>
        <v>1.1276116453995411</v>
      </c>
      <c r="AR46" s="21">
        <f t="shared" si="28"/>
        <v>21.783494959722816</v>
      </c>
      <c r="AS46" s="21">
        <f t="shared" si="28"/>
        <v>19.731643653204578</v>
      </c>
      <c r="AT46" s="21">
        <f t="shared" si="26"/>
        <v>20.757569306463697</v>
      </c>
      <c r="AU46" s="21">
        <f>(SUM(AT$3:AT46)/($B46-$B$3+1))</f>
        <v>18.141985851278374</v>
      </c>
      <c r="AV46" s="22">
        <f>SUM(AT$3:AT46)/1000</f>
        <v>0.79824737745624841</v>
      </c>
    </row>
    <row r="47" spans="1:48" ht="15.6">
      <c r="A47" s="17" t="s">
        <v>63</v>
      </c>
      <c r="B47" s="17">
        <v>104</v>
      </c>
      <c r="C47" s="18">
        <f t="shared" si="0"/>
        <v>60.359943987684801</v>
      </c>
      <c r="D47" s="18">
        <f t="shared" si="1"/>
        <v>57.623589604097106</v>
      </c>
      <c r="E47" s="18">
        <f t="shared" si="13"/>
        <v>58.991766795890953</v>
      </c>
      <c r="F47" s="19">
        <f t="shared" si="23"/>
        <v>1.0084545954281197</v>
      </c>
      <c r="G47" s="19">
        <f t="shared" si="23"/>
        <v>0.91896261773324284</v>
      </c>
      <c r="H47" s="19">
        <f t="shared" si="14"/>
        <v>0.96370860658068125</v>
      </c>
      <c r="I47" s="19">
        <f>(SUM(H$3:H47)/($B47-$B$3+1))</f>
        <v>0.84706550702134997</v>
      </c>
      <c r="J47" s="19"/>
      <c r="K47" s="19">
        <f t="shared" si="15"/>
        <v>2.3667447099121883</v>
      </c>
      <c r="L47" s="19">
        <f t="shared" si="16"/>
        <v>2.0199324992553862</v>
      </c>
      <c r="M47" s="19">
        <f t="shared" si="17"/>
        <v>2.1933386045837873</v>
      </c>
      <c r="N47" s="19">
        <f>(SUM(M$3:M47)/($B47-$B$3+1))</f>
        <v>1.6533185145219018</v>
      </c>
      <c r="O47" s="19">
        <f t="shared" si="29"/>
        <v>2.3469025979374245</v>
      </c>
      <c r="P47" s="19">
        <f t="shared" si="30"/>
        <v>2.1980573097062952</v>
      </c>
      <c r="Q47" s="19">
        <f t="shared" si="18"/>
        <v>2.2724799538218599</v>
      </c>
      <c r="R47" s="19">
        <f>(SUM(Q$3:Q47)/($B47-$B$3+1))</f>
        <v>1.9302823629304817</v>
      </c>
      <c r="S47" s="19">
        <f t="shared" si="31"/>
        <v>8.0713719967974313</v>
      </c>
      <c r="T47" s="19">
        <f t="shared" si="32"/>
        <v>7.4321472262785075</v>
      </c>
      <c r="U47" s="19">
        <f t="shared" si="24"/>
        <v>7.7517596115379694</v>
      </c>
      <c r="V47" s="19">
        <f>(SUM(U$3:U47)/($B47-$B$3+1))</f>
        <v>6.5129187752018547</v>
      </c>
      <c r="W47" s="18">
        <f t="shared" si="19"/>
        <v>8.1396121815802083</v>
      </c>
      <c r="X47" s="18">
        <f t="shared" si="20"/>
        <v>6.8298654704397572</v>
      </c>
      <c r="Y47" s="20">
        <f t="shared" si="6"/>
        <v>7484.7388260099824</v>
      </c>
      <c r="Z47" s="20">
        <f>(SUM(Y$3:Y47)/($B47-$B$3+1))</f>
        <v>5584.1777676002393</v>
      </c>
      <c r="AA47" s="21">
        <f>SUM(Y$3:Y47)/1000</f>
        <v>251.28799954201077</v>
      </c>
      <c r="AB47" s="20">
        <f t="shared" si="7"/>
        <v>3412.4867042270034</v>
      </c>
      <c r="AC47" s="20">
        <f>(SUM(AB$3:AB47)/($B47-$B$3+1))</f>
        <v>3373.0341212256399</v>
      </c>
      <c r="AD47" s="18">
        <f t="shared" si="27"/>
        <v>6.1410486219139377</v>
      </c>
      <c r="AE47" s="18">
        <f t="shared" si="27"/>
        <v>5.2411667548933494</v>
      </c>
      <c r="AF47" s="20">
        <f t="shared" si="9"/>
        <v>5691.1076884036438</v>
      </c>
      <c r="AG47" s="20">
        <f>(SUM(AF$3:AF47)/($B47-$B$3+1))</f>
        <v>4245.9941175454469</v>
      </c>
      <c r="AH47" s="22">
        <f>SUM(AF$3:AF47)/1000</f>
        <v>191.06973528954512</v>
      </c>
      <c r="AI47" s="20">
        <v>2594.723713205969</v>
      </c>
      <c r="AJ47" s="20">
        <f>(SUM(AI$3:AI47)/($B47-$B$3+1))</f>
        <v>2564.7254856571085</v>
      </c>
      <c r="AK47" s="21">
        <f>SUM(AI$3:AI47)/1000</f>
        <v>115.41264685456987</v>
      </c>
      <c r="AL47" s="23">
        <f t="shared" si="21"/>
        <v>2.7028459570003722</v>
      </c>
      <c r="AM47" s="23">
        <f t="shared" si="22"/>
        <v>2.8644264921673361</v>
      </c>
      <c r="AN47" s="24">
        <f t="shared" si="10"/>
        <v>0.92234258918374812</v>
      </c>
      <c r="AO47" s="24">
        <f t="shared" si="11"/>
        <v>0.9774817319756629</v>
      </c>
      <c r="AP47" s="24">
        <f t="shared" si="25"/>
        <v>0.94991216057970551</v>
      </c>
      <c r="AQ47" s="24">
        <f>(SUM(AP$3:AP47)/($B47-$B$3+1))</f>
        <v>1.1236627679591003</v>
      </c>
      <c r="AR47" s="21">
        <f t="shared" si="28"/>
        <v>21.829494436773466</v>
      </c>
      <c r="AS47" s="21">
        <f t="shared" si="28"/>
        <v>19.744471178460842</v>
      </c>
      <c r="AT47" s="21">
        <f t="shared" si="26"/>
        <v>20.786982807617154</v>
      </c>
      <c r="AU47" s="21">
        <f>(SUM(AT$3:AT47)/($B47-$B$3+1))</f>
        <v>18.200763561419233</v>
      </c>
      <c r="AV47" s="22">
        <f>SUM(AT$3:AT47)/1000</f>
        <v>0.81903436026386556</v>
      </c>
    </row>
    <row r="48" spans="1:48" ht="15.6">
      <c r="A48" s="17" t="s">
        <v>63</v>
      </c>
      <c r="B48" s="17">
        <v>105</v>
      </c>
      <c r="C48" s="18">
        <f t="shared" si="0"/>
        <v>61.368398583112921</v>
      </c>
      <c r="D48" s="18">
        <f t="shared" si="1"/>
        <v>58.542552221830348</v>
      </c>
      <c r="E48" s="18">
        <f t="shared" si="13"/>
        <v>59.955475402471635</v>
      </c>
      <c r="F48" s="19">
        <f t="shared" si="23"/>
        <v>1.0116270716507429</v>
      </c>
      <c r="G48" s="19">
        <f t="shared" si="23"/>
        <v>0.92170235688548985</v>
      </c>
      <c r="H48" s="19">
        <f t="shared" si="14"/>
        <v>0.9666647142681164</v>
      </c>
      <c r="I48" s="19">
        <f>(SUM(H$3:H48)/($B48-$B$3+1))</f>
        <v>0.84966548978758405</v>
      </c>
      <c r="J48" s="19"/>
      <c r="K48" s="19">
        <f t="shared" si="15"/>
        <v>2.3895745287939016</v>
      </c>
      <c r="L48" s="19">
        <f t="shared" si="16"/>
        <v>2.0359959035385771</v>
      </c>
      <c r="M48" s="19">
        <f t="shared" si="17"/>
        <v>2.2127852161662394</v>
      </c>
      <c r="N48" s="19">
        <f>(SUM(M$3:M48)/($B48-$B$3+1))</f>
        <v>1.6654808341228657</v>
      </c>
      <c r="O48" s="19">
        <f t="shared" si="29"/>
        <v>2.3621101053520297</v>
      </c>
      <c r="P48" s="19">
        <f t="shared" si="30"/>
        <v>2.2089516082158878</v>
      </c>
      <c r="Q48" s="19">
        <f t="shared" si="18"/>
        <v>2.285530856783959</v>
      </c>
      <c r="R48" s="19">
        <f>(SUM(Q$3:Q48)/($B48-$B$3+1))</f>
        <v>1.9380051562751226</v>
      </c>
      <c r="S48" s="19">
        <f t="shared" si="31"/>
        <v>8.1285545365587595</v>
      </c>
      <c r="T48" s="19">
        <f t="shared" si="32"/>
        <v>7.4729719621170512</v>
      </c>
      <c r="U48" s="19">
        <f t="shared" si="24"/>
        <v>7.8007632493379049</v>
      </c>
      <c r="V48" s="19">
        <f>(SUM(U$3:U48)/($B48-$B$3+1))</f>
        <v>6.5409153942048137</v>
      </c>
      <c r="W48" s="18">
        <f t="shared" si="19"/>
        <v>8.2230658225723001</v>
      </c>
      <c r="X48" s="18">
        <f t="shared" si="20"/>
        <v>6.8878558704224693</v>
      </c>
      <c r="Y48" s="20">
        <f t="shared" si="6"/>
        <v>7555.4608464973844</v>
      </c>
      <c r="Z48" s="20">
        <f>(SUM(Y$3:Y48)/($B48-$B$3+1))</f>
        <v>5627.031747576264</v>
      </c>
      <c r="AA48" s="21">
        <f>SUM(Y$3:Y48)/1000</f>
        <v>258.84346038850816</v>
      </c>
      <c r="AB48" s="20">
        <f t="shared" si="7"/>
        <v>3414.457395728446</v>
      </c>
      <c r="AC48" s="20">
        <f>(SUM(AB$3:AB48)/($B48-$B$3+1))</f>
        <v>3373.9346271930922</v>
      </c>
      <c r="AD48" s="18">
        <f t="shared" si="27"/>
        <v>6.2038663237650145</v>
      </c>
      <c r="AE48" s="18">
        <f t="shared" si="27"/>
        <v>5.2858976646615892</v>
      </c>
      <c r="AF48" s="20">
        <f t="shared" si="9"/>
        <v>5744.8819942133014</v>
      </c>
      <c r="AG48" s="20">
        <f>(SUM(AF$3:AF48)/($B48-$B$3+1))</f>
        <v>4278.5786366034436</v>
      </c>
      <c r="AH48" s="22">
        <f>SUM(AF$3:AF48)/1000</f>
        <v>196.81461728375842</v>
      </c>
      <c r="AI48" s="20">
        <v>2596.2221512698807</v>
      </c>
      <c r="AJ48" s="20">
        <f>(SUM(AI$3:AI48)/($B48-$B$3+1))</f>
        <v>2565.4101957791249</v>
      </c>
      <c r="AK48" s="21">
        <f>SUM(AI$3:AI48)/1000</f>
        <v>118.00886900583974</v>
      </c>
      <c r="AL48" s="23">
        <f t="shared" si="21"/>
        <v>2.6802819668527338</v>
      </c>
      <c r="AM48" s="23">
        <f t="shared" si="22"/>
        <v>2.8416224249082789</v>
      </c>
      <c r="AN48" s="24">
        <f t="shared" si="10"/>
        <v>0.91517085843579016</v>
      </c>
      <c r="AO48" s="24">
        <f t="shared" si="11"/>
        <v>0.97025987045958728</v>
      </c>
      <c r="AP48" s="24">
        <f t="shared" si="25"/>
        <v>0.94271536444768866</v>
      </c>
      <c r="AQ48" s="24">
        <f>(SUM(AP$3:AP48)/($B48-$B$3+1))</f>
        <v>1.1197291287523305</v>
      </c>
      <c r="AR48" s="21">
        <f t="shared" si="28"/>
        <v>21.868689728126139</v>
      </c>
      <c r="AS48" s="21">
        <f t="shared" si="28"/>
        <v>19.754451216235903</v>
      </c>
      <c r="AT48" s="21">
        <f t="shared" si="26"/>
        <v>20.811570472181021</v>
      </c>
      <c r="AU48" s="21">
        <f>(SUM(AT$3:AT48)/($B48-$B$3+1))</f>
        <v>18.257520233392317</v>
      </c>
      <c r="AV48" s="22">
        <f>SUM(AT$3:AT48)/1000</f>
        <v>0.83984593073604663</v>
      </c>
    </row>
    <row r="49" spans="1:48" ht="15.6">
      <c r="A49" s="17" t="s">
        <v>63</v>
      </c>
      <c r="B49" s="17">
        <v>106</v>
      </c>
      <c r="C49" s="18">
        <f t="shared" si="0"/>
        <v>62.380025654763664</v>
      </c>
      <c r="D49" s="18">
        <f t="shared" si="1"/>
        <v>59.464254578715838</v>
      </c>
      <c r="E49" s="18">
        <f t="shared" si="13"/>
        <v>60.922140116739754</v>
      </c>
      <c r="F49" s="19">
        <f t="shared" si="23"/>
        <v>1.0146353679729216</v>
      </c>
      <c r="G49" s="19">
        <f t="shared" si="23"/>
        <v>0.92431621662963437</v>
      </c>
      <c r="H49" s="19">
        <f t="shared" si="14"/>
        <v>0.96947579230127801</v>
      </c>
      <c r="I49" s="19">
        <f>(SUM(H$3:H49)/($B49-$B$3+1))</f>
        <v>0.85221464516021594</v>
      </c>
      <c r="J49" s="19"/>
      <c r="K49" s="19">
        <f t="shared" si="15"/>
        <v>2.4118571948677547</v>
      </c>
      <c r="L49" s="19">
        <f t="shared" si="16"/>
        <v>2.0518460752204741</v>
      </c>
      <c r="M49" s="19">
        <f t="shared" si="17"/>
        <v>2.2318516350441144</v>
      </c>
      <c r="N49" s="19">
        <f>(SUM(M$3:M49)/($B49-$B$3+1))</f>
        <v>1.677531276695658</v>
      </c>
      <c r="O49" s="19">
        <f t="shared" si="29"/>
        <v>2.3770679310009246</v>
      </c>
      <c r="P49" s="19">
        <f t="shared" si="30"/>
        <v>2.2198529445931285</v>
      </c>
      <c r="Q49" s="19">
        <f t="shared" si="18"/>
        <v>2.2984604377970266</v>
      </c>
      <c r="R49" s="19">
        <f>(SUM(Q$3:Q49)/($B49-$B$3+1))</f>
        <v>1.9456744175840994</v>
      </c>
      <c r="S49" s="19">
        <f t="shared" si="31"/>
        <v>8.1849919376369495</v>
      </c>
      <c r="T49" s="19">
        <f t="shared" si="32"/>
        <v>7.5138167112281593</v>
      </c>
      <c r="U49" s="19">
        <f t="shared" si="24"/>
        <v>7.8494043244325544</v>
      </c>
      <c r="V49" s="19">
        <f>(SUM(U$3:U49)/($B49-$B$3+1))</f>
        <v>6.5687555842096588</v>
      </c>
      <c r="W49" s="18">
        <f t="shared" si="19"/>
        <v>8.3047823064996624</v>
      </c>
      <c r="X49" s="18">
        <f t="shared" si="20"/>
        <v>6.9451426349709342</v>
      </c>
      <c r="Y49" s="20">
        <f t="shared" si="6"/>
        <v>7624.9624707352978</v>
      </c>
      <c r="Z49" s="20">
        <f>(SUM(Y$3:Y49)/($B49-$B$3+1))</f>
        <v>5669.5409118987973</v>
      </c>
      <c r="AA49" s="21">
        <f>SUM(Y$3:Y49)/1000</f>
        <v>266.46842285924345</v>
      </c>
      <c r="AB49" s="20">
        <f t="shared" si="7"/>
        <v>3416.42891983032</v>
      </c>
      <c r="AC49" s="20">
        <f>(SUM(AB$3:AB49)/($B49-$B$3+1))</f>
        <v>3374.838761078991</v>
      </c>
      <c r="AD49" s="18">
        <f t="shared" si="27"/>
        <v>6.2653326205330035</v>
      </c>
      <c r="AE49" s="18">
        <f t="shared" si="27"/>
        <v>5.3301240947212607</v>
      </c>
      <c r="AF49" s="20">
        <f t="shared" si="9"/>
        <v>5797.7283576271329</v>
      </c>
      <c r="AG49" s="20">
        <f>(SUM(AF$3:AF49)/($B49-$B$3+1))</f>
        <v>4310.9009710933096</v>
      </c>
      <c r="AH49" s="22">
        <f>SUM(AF$3:AF49)/1000</f>
        <v>202.61234564138556</v>
      </c>
      <c r="AI49" s="20">
        <v>2597.7212224111549</v>
      </c>
      <c r="AJ49" s="20">
        <f>(SUM(AI$3:AI49)/($B49-$B$3+1))</f>
        <v>2566.0976644308703</v>
      </c>
      <c r="AK49" s="21">
        <f>SUM(AI$3:AI49)/1000</f>
        <v>120.60659022825091</v>
      </c>
      <c r="AL49" s="23">
        <f t="shared" si="21"/>
        <v>2.6579449674824143</v>
      </c>
      <c r="AM49" s="23">
        <f t="shared" si="22"/>
        <v>2.8190802036939195</v>
      </c>
      <c r="AN49" s="24">
        <f t="shared" si="10"/>
        <v>0.90806800542243804</v>
      </c>
      <c r="AO49" s="24">
        <f t="shared" si="11"/>
        <v>0.96311871352210565</v>
      </c>
      <c r="AP49" s="24">
        <f t="shared" si="25"/>
        <v>0.93559335947227185</v>
      </c>
      <c r="AQ49" s="24">
        <f>(SUM(AP$3:AP49)/($B49-$B$3+1))</f>
        <v>1.1158113464272228</v>
      </c>
      <c r="AR49" s="21">
        <f t="shared" si="28"/>
        <v>21.901303523073185</v>
      </c>
      <c r="AS49" s="21">
        <f t="shared" si="28"/>
        <v>19.761713523117248</v>
      </c>
      <c r="AT49" s="21">
        <f t="shared" si="26"/>
        <v>20.831508523095216</v>
      </c>
      <c r="AU49" s="21">
        <f>(SUM(AT$3:AT49)/($B49-$B$3+1))</f>
        <v>18.312285941683868</v>
      </c>
      <c r="AV49" s="22">
        <f>SUM(AT$3:AT49)/1000</f>
        <v>0.86067743925914175</v>
      </c>
    </row>
    <row r="50" spans="1:48" ht="15.6">
      <c r="A50" s="17" t="s">
        <v>63</v>
      </c>
      <c r="B50" s="17">
        <v>107</v>
      </c>
      <c r="C50" s="18">
        <f t="shared" si="0"/>
        <v>63.394661022736585</v>
      </c>
      <c r="D50" s="18">
        <f t="shared" si="1"/>
        <v>60.388570795345473</v>
      </c>
      <c r="E50" s="18">
        <f t="shared" si="13"/>
        <v>61.891615909041029</v>
      </c>
      <c r="F50" s="19">
        <f t="shared" si="23"/>
        <v>1.0174808006082401</v>
      </c>
      <c r="G50" s="19">
        <f t="shared" si="23"/>
        <v>0.92680528855942867</v>
      </c>
      <c r="H50" s="19">
        <f t="shared" si="14"/>
        <v>0.97214304458383438</v>
      </c>
      <c r="I50" s="19">
        <f>(SUM(H$3:H50)/($B50-$B$3+1))</f>
        <v>0.8547131534815412</v>
      </c>
      <c r="J50" s="19"/>
      <c r="K50" s="19">
        <f t="shared" si="15"/>
        <v>2.4335944563751624</v>
      </c>
      <c r="L50" s="19">
        <f t="shared" si="16"/>
        <v>2.067483721764475</v>
      </c>
      <c r="M50" s="19">
        <f t="shared" si="17"/>
        <v>2.2505390890698189</v>
      </c>
      <c r="N50" s="19">
        <f>(SUM(M$3:M50)/($B50-$B$3+1))</f>
        <v>1.6894689394534532</v>
      </c>
      <c r="O50" s="19">
        <f t="shared" si="29"/>
        <v>2.391784154472874</v>
      </c>
      <c r="P50" s="19">
        <f t="shared" si="30"/>
        <v>2.2307638371141034</v>
      </c>
      <c r="Q50" s="19">
        <f t="shared" si="18"/>
        <v>2.3112739957934885</v>
      </c>
      <c r="R50" s="19">
        <f>(SUM(Q$3:Q50)/($B50-$B$3+1))</f>
        <v>1.9532910754634616</v>
      </c>
      <c r="S50" s="19">
        <f t="shared" si="31"/>
        <v>8.2407060921980531</v>
      </c>
      <c r="T50" s="19">
        <f t="shared" si="32"/>
        <v>7.5546896456242782</v>
      </c>
      <c r="U50" s="19">
        <f t="shared" si="24"/>
        <v>7.8976978689111661</v>
      </c>
      <c r="V50" s="19">
        <f>(SUM(U$3:U50)/($B50-$B$3+1))</f>
        <v>6.5964418818076069</v>
      </c>
      <c r="W50" s="18">
        <f t="shared" si="19"/>
        <v>8.3847602322668759</v>
      </c>
      <c r="X50" s="18">
        <f t="shared" si="20"/>
        <v>7.0017263169897372</v>
      </c>
      <c r="Y50" s="20">
        <f t="shared" si="6"/>
        <v>7693.2432746283066</v>
      </c>
      <c r="Z50" s="20">
        <f>(SUM(Y$3:Y50)/($B50-$B$3+1))</f>
        <v>5711.7013777889952</v>
      </c>
      <c r="AA50" s="21">
        <f>SUM(Y$3:Y50)/1000</f>
        <v>274.16166613387179</v>
      </c>
      <c r="AB50" s="20">
        <f t="shared" si="7"/>
        <v>3418.4002010860595</v>
      </c>
      <c r="AC50" s="20">
        <f>(SUM(AB$3:AB50)/($B50-$B$3+1))</f>
        <v>3375.7462910791382</v>
      </c>
      <c r="AD50" s="18">
        <f t="shared" si="27"/>
        <v>6.3254476479216919</v>
      </c>
      <c r="AE50" s="18">
        <f t="shared" si="27"/>
        <v>5.3738452644368691</v>
      </c>
      <c r="AF50" s="20">
        <f t="shared" si="9"/>
        <v>5849.6464561792809</v>
      </c>
      <c r="AG50" s="20">
        <f>(SUM(AF$3:AF50)/($B50-$B$3+1))</f>
        <v>4342.9581686992669</v>
      </c>
      <c r="AH50" s="22">
        <f>SUM(AF$3:AF50)/1000</f>
        <v>208.46199209756483</v>
      </c>
      <c r="AI50" s="20">
        <v>2599.2201089015639</v>
      </c>
      <c r="AJ50" s="20">
        <f>(SUM(AI$3:AI50)/($B50-$B$3+1))</f>
        <v>2566.7877153573431</v>
      </c>
      <c r="AK50" s="21">
        <f>SUM(AI$3:AI50)/1000</f>
        <v>123.20581033715246</v>
      </c>
      <c r="AL50" s="23">
        <f t="shared" si="21"/>
        <v>2.6358413189829615</v>
      </c>
      <c r="AM50" s="23">
        <f t="shared" si="22"/>
        <v>2.7968057850145329</v>
      </c>
      <c r="AN50" s="24">
        <f t="shared" si="10"/>
        <v>0.90103604948422988</v>
      </c>
      <c r="AO50" s="24">
        <f t="shared" si="11"/>
        <v>0.95606014578923337</v>
      </c>
      <c r="AP50" s="24">
        <f t="shared" si="25"/>
        <v>0.92854809763673163</v>
      </c>
      <c r="AQ50" s="24">
        <f>(SUM(AP$3:AP50)/($B50-$B$3+1))</f>
        <v>1.1119100287440875</v>
      </c>
      <c r="AR50" s="21">
        <f t="shared" si="28"/>
        <v>21.927563350189985</v>
      </c>
      <c r="AS50" s="21">
        <f t="shared" si="28"/>
        <v>19.76638788447011</v>
      </c>
      <c r="AT50" s="21">
        <f t="shared" si="26"/>
        <v>20.846975617330045</v>
      </c>
      <c r="AU50" s="21">
        <f>(SUM(AT$3:AT50)/($B50-$B$3+1))</f>
        <v>18.365091976593163</v>
      </c>
      <c r="AV50" s="22">
        <f>SUM(AT$3:AT50)/1000</f>
        <v>0.88152441487647182</v>
      </c>
    </row>
    <row r="51" spans="1:48" ht="15.6">
      <c r="A51" s="17" t="s">
        <v>63</v>
      </c>
      <c r="B51" s="17">
        <v>108</v>
      </c>
      <c r="C51" s="18">
        <f t="shared" si="0"/>
        <v>64.412141823344825</v>
      </c>
      <c r="D51" s="18">
        <f t="shared" si="1"/>
        <v>61.315376083904901</v>
      </c>
      <c r="E51" s="18">
        <f t="shared" si="13"/>
        <v>62.863758953624867</v>
      </c>
      <c r="F51" s="19">
        <f t="shared" si="23"/>
        <v>1.0201647405445442</v>
      </c>
      <c r="G51" s="19">
        <f t="shared" si="23"/>
        <v>0.9291706919653322</v>
      </c>
      <c r="H51" s="19">
        <f t="shared" si="14"/>
        <v>0.9746677162549382</v>
      </c>
      <c r="I51" s="19">
        <f>(SUM(H$3:H51)/($B51-$B$3+1))</f>
        <v>0.85716120578303923</v>
      </c>
      <c r="J51" s="19"/>
      <c r="K51" s="19">
        <f t="shared" si="15"/>
        <v>2.4547887868475788</v>
      </c>
      <c r="L51" s="19">
        <f t="shared" si="16"/>
        <v>2.0829096555800977</v>
      </c>
      <c r="M51" s="19">
        <f t="shared" si="17"/>
        <v>2.2688492212138383</v>
      </c>
      <c r="N51" s="19">
        <f>(SUM(M$3:M51)/($B51-$B$3+1))</f>
        <v>1.7012930268363182</v>
      </c>
      <c r="O51" s="19">
        <f t="shared" si="29"/>
        <v>2.4062670363781247</v>
      </c>
      <c r="P51" s="19">
        <f t="shared" si="30"/>
        <v>2.2416867789646253</v>
      </c>
      <c r="Q51" s="19">
        <f t="shared" si="18"/>
        <v>2.323976907671375</v>
      </c>
      <c r="R51" s="19">
        <f>(SUM(Q$3:Q51)/($B51-$B$3+1))</f>
        <v>1.9608560924472966</v>
      </c>
      <c r="S51" s="19">
        <f t="shared" si="31"/>
        <v>8.2957195126721146</v>
      </c>
      <c r="T51" s="19">
        <f t="shared" si="32"/>
        <v>7.5955988780015327</v>
      </c>
      <c r="U51" s="19">
        <f t="shared" si="24"/>
        <v>7.9456591953368232</v>
      </c>
      <c r="V51" s="19">
        <f>(SUM(U$3:U51)/($B51-$B$3+1))</f>
        <v>6.623976929022489</v>
      </c>
      <c r="W51" s="18">
        <f t="shared" si="19"/>
        <v>8.4630005442754612</v>
      </c>
      <c r="X51" s="18">
        <f t="shared" si="20"/>
        <v>7.057607865363785</v>
      </c>
      <c r="Y51" s="20">
        <f t="shared" si="6"/>
        <v>7760.304204819623</v>
      </c>
      <c r="Z51" s="20">
        <f>(SUM(Y$3:Y51)/($B51-$B$3+1))</f>
        <v>5753.5095987488039</v>
      </c>
      <c r="AA51" s="21">
        <f>SUM(Y$3:Y51)/1000</f>
        <v>281.92197033869138</v>
      </c>
      <c r="AB51" s="20">
        <f t="shared" si="7"/>
        <v>3420.3701736811963</v>
      </c>
      <c r="AC51" s="20">
        <f>(SUM(AB$3:AB51)/($B51-$B$3+1))</f>
        <v>3376.656982560813</v>
      </c>
      <c r="AD51" s="18">
        <f t="shared" si="27"/>
        <v>6.3842133849793257</v>
      </c>
      <c r="AE51" s="18">
        <f t="shared" si="27"/>
        <v>5.4170606343423922</v>
      </c>
      <c r="AF51" s="20">
        <f t="shared" si="9"/>
        <v>5900.6370096608589</v>
      </c>
      <c r="AG51" s="20">
        <f>(SUM(AF$3:AF51)/($B51-$B$3+1))</f>
        <v>4374.7475328005239</v>
      </c>
      <c r="AH51" s="22">
        <f>SUM(AF$3:AF51)/1000</f>
        <v>214.3626291072257</v>
      </c>
      <c r="AI51" s="20">
        <v>2600.7180003367557</v>
      </c>
      <c r="AJ51" s="20">
        <f>(SUM(AI$3:AI51)/($B51-$B$3+1))</f>
        <v>2567.4801701528413</v>
      </c>
      <c r="AK51" s="21">
        <f>SUM(AI$3:AI51)/1000</f>
        <v>125.80652833748921</v>
      </c>
      <c r="AL51" s="23">
        <f t="shared" si="21"/>
        <v>2.6139771672566159</v>
      </c>
      <c r="AM51" s="23">
        <f t="shared" si="22"/>
        <v>2.7748049269116293</v>
      </c>
      <c r="AN51" s="24">
        <f t="shared" si="10"/>
        <v>0.89407695375681917</v>
      </c>
      <c r="AO51" s="24">
        <f t="shared" si="11"/>
        <v>0.9490860009792168</v>
      </c>
      <c r="AP51" s="24">
        <f t="shared" si="25"/>
        <v>0.92158147736801799</v>
      </c>
      <c r="AQ51" s="24">
        <f>(SUM(AP$3:AP51)/($B51-$B$3+1))</f>
        <v>1.1080257725935554</v>
      </c>
      <c r="AR51" s="21">
        <f t="shared" si="28"/>
        <v>21.947700806610811</v>
      </c>
      <c r="AS51" s="21">
        <f t="shared" si="28"/>
        <v>19.768603954155129</v>
      </c>
      <c r="AT51" s="21">
        <f t="shared" si="26"/>
        <v>20.858152380382968</v>
      </c>
      <c r="AU51" s="21">
        <f>(SUM(AT$3:AT51)/($B51-$B$3+1))</f>
        <v>18.415970760343978</v>
      </c>
      <c r="AV51" s="22">
        <f>SUM(AT$3:AT51)/1000</f>
        <v>0.90238256725685484</v>
      </c>
    </row>
    <row r="52" spans="1:48" ht="15.6">
      <c r="A52" s="17" t="s">
        <v>63</v>
      </c>
      <c r="B52" s="17">
        <v>109</v>
      </c>
      <c r="C52" s="18">
        <f t="shared" si="0"/>
        <v>65.432306563889369</v>
      </c>
      <c r="D52" s="18">
        <f t="shared" si="1"/>
        <v>62.244546775870234</v>
      </c>
      <c r="E52" s="18">
        <f t="shared" si="13"/>
        <v>63.838426669879802</v>
      </c>
      <c r="F52" s="19">
        <f t="shared" si="23"/>
        <v>1.0226886113611897</v>
      </c>
      <c r="G52" s="19">
        <f t="shared" si="23"/>
        <v>0.93141357263268532</v>
      </c>
      <c r="H52" s="19">
        <f t="shared" si="14"/>
        <v>0.97705109199693752</v>
      </c>
      <c r="I52" s="19">
        <f>(SUM(H$3:H52)/($B52-$B$3+1))</f>
        <v>0.85955900350731729</v>
      </c>
      <c r="J52" s="19"/>
      <c r="K52" s="19">
        <f t="shared" si="15"/>
        <v>2.4754433471247648</v>
      </c>
      <c r="L52" s="19">
        <f t="shared" si="16"/>
        <v>2.0981247889590922</v>
      </c>
      <c r="M52" s="19">
        <f t="shared" si="17"/>
        <v>2.2867840680419285</v>
      </c>
      <c r="N52" s="19">
        <f>(SUM(M$3:M52)/($B52-$B$3+1))</f>
        <v>1.7130028476604304</v>
      </c>
      <c r="O52" s="19">
        <f t="shared" si="29"/>
        <v>2.4205249961960278</v>
      </c>
      <c r="P52" s="19">
        <f t="shared" si="30"/>
        <v>2.2526242376183561</v>
      </c>
      <c r="Q52" s="19">
        <f t="shared" si="18"/>
        <v>2.3365746169071917</v>
      </c>
      <c r="R52" s="19">
        <f>(SUM(Q$3:Q52)/($B52-$B$3+1))</f>
        <v>1.9683704629364944</v>
      </c>
      <c r="S52" s="19">
        <f t="shared" si="31"/>
        <v>8.350055272100315</v>
      </c>
      <c r="T52" s="19">
        <f t="shared" si="32"/>
        <v>7.6365524590026679</v>
      </c>
      <c r="U52" s="19">
        <f t="shared" si="24"/>
        <v>7.993303865551491</v>
      </c>
      <c r="V52" s="19">
        <f>(SUM(U$3:U52)/($B52-$B$3+1))</f>
        <v>6.6513634677530682</v>
      </c>
      <c r="W52" s="18">
        <f t="shared" si="19"/>
        <v>8.5395064310134519</v>
      </c>
      <c r="X52" s="18">
        <f t="shared" si="20"/>
        <v>7.1127886084365928</v>
      </c>
      <c r="Y52" s="20">
        <f t="shared" si="6"/>
        <v>7826.1475197250229</v>
      </c>
      <c r="Z52" s="20">
        <f>(SUM(Y$3:Y52)/($B52-$B$3+1))</f>
        <v>5794.9623571683278</v>
      </c>
      <c r="AA52" s="21">
        <f>SUM(Y$3:Y52)/1000</f>
        <v>289.74811785841638</v>
      </c>
      <c r="AB52" s="20">
        <f t="shared" si="7"/>
        <v>3422.3377839194959</v>
      </c>
      <c r="AC52" s="20">
        <f>(SUM(AB$3:AB52)/($B52-$B$3+1))</f>
        <v>3377.5705985879868</v>
      </c>
      <c r="AD52" s="18">
        <f t="shared" si="27"/>
        <v>6.4416335705656538</v>
      </c>
      <c r="AE52" s="18">
        <f t="shared" si="27"/>
        <v>5.4597699000031605</v>
      </c>
      <c r="AF52" s="20">
        <f t="shared" si="9"/>
        <v>5950.7017352844068</v>
      </c>
      <c r="AG52" s="20">
        <f>(SUM(AF$3:AF52)/($B52-$B$3+1))</f>
        <v>4406.2666168502019</v>
      </c>
      <c r="AH52" s="22">
        <f>SUM(AF$3:AF52)/1000</f>
        <v>220.31333084251011</v>
      </c>
      <c r="AI52" s="20">
        <v>2602.2140955266182</v>
      </c>
      <c r="AJ52" s="20">
        <f>(SUM(AI$3:AI52)/($B52-$B$3+1))</f>
        <v>2568.1748486603169</v>
      </c>
      <c r="AK52" s="21">
        <f>SUM(AI$3:AI52)/1000</f>
        <v>128.40874243301585</v>
      </c>
      <c r="AL52" s="23">
        <f t="shared" si="21"/>
        <v>2.5923584434185689</v>
      </c>
      <c r="AM52" s="23">
        <f t="shared" si="22"/>
        <v>2.753083189058815</v>
      </c>
      <c r="AN52" s="24">
        <f t="shared" si="10"/>
        <v>0.88719262503740981</v>
      </c>
      <c r="AO52" s="24">
        <f t="shared" si="11"/>
        <v>0.94219806201895628</v>
      </c>
      <c r="AP52" s="24">
        <f t="shared" si="25"/>
        <v>0.91469534352818305</v>
      </c>
      <c r="AQ52" s="24">
        <f>(SUM(AP$3:AP52)/($B52-$B$3+1))</f>
        <v>1.1041591640122479</v>
      </c>
      <c r="AR52" s="21">
        <f t="shared" si="28"/>
        <v>21.961950812670121</v>
      </c>
      <c r="AS52" s="21">
        <f t="shared" si="28"/>
        <v>19.768491100311884</v>
      </c>
      <c r="AT52" s="21">
        <f t="shared" si="26"/>
        <v>20.865220956491001</v>
      </c>
      <c r="AU52" s="21">
        <f>(SUM(AT$3:AT52)/($B52-$B$3+1))</f>
        <v>18.464955764266918</v>
      </c>
      <c r="AV52" s="22">
        <f>SUM(AT$3:AT52)/1000</f>
        <v>0.92324778821334585</v>
      </c>
    </row>
    <row r="53" spans="1:48" ht="15.6">
      <c r="A53" s="17" t="s">
        <v>63</v>
      </c>
      <c r="B53" s="17">
        <v>110</v>
      </c>
      <c r="C53" s="18">
        <f t="shared" si="0"/>
        <v>66.454995175250559</v>
      </c>
      <c r="D53" s="18">
        <f t="shared" si="1"/>
        <v>63.175960348502919</v>
      </c>
      <c r="E53" s="18">
        <f t="shared" si="13"/>
        <v>64.815477761876735</v>
      </c>
      <c r="F53" s="19">
        <f t="shared" si="23"/>
        <v>1.0250538870528771</v>
      </c>
      <c r="G53" s="19">
        <f t="shared" si="23"/>
        <v>0.93353510164929077</v>
      </c>
      <c r="H53" s="19">
        <f t="shared" si="14"/>
        <v>0.97929449435108396</v>
      </c>
      <c r="I53" s="19">
        <f>(SUM(H$3:H53)/($B53-$B$3+1))</f>
        <v>0.86190675822974394</v>
      </c>
      <c r="J53" s="19"/>
      <c r="K53" s="19">
        <f t="shared" si="15"/>
        <v>2.4955619471436856</v>
      </c>
      <c r="L53" s="19">
        <f t="shared" si="16"/>
        <v>2.1131301291217657</v>
      </c>
      <c r="M53" s="19">
        <f t="shared" si="17"/>
        <v>2.3043460381327256</v>
      </c>
      <c r="N53" s="19">
        <f>(SUM(M$3:M53)/($B53-$B$3+1))</f>
        <v>1.7245978121794949</v>
      </c>
      <c r="O53" s="19">
        <f t="shared" si="29"/>
        <v>2.4345665907561722</v>
      </c>
      <c r="P53" s="19">
        <f t="shared" si="30"/>
        <v>2.2635786542878424</v>
      </c>
      <c r="Q53" s="19">
        <f t="shared" si="18"/>
        <v>2.3490726225220073</v>
      </c>
      <c r="R53" s="19">
        <f>(SUM(Q$3:Q53)/($B53-$B$3+1))</f>
        <v>1.9758352111636612</v>
      </c>
      <c r="S53" s="19">
        <f t="shared" si="31"/>
        <v>8.4037369458825903</v>
      </c>
      <c r="T53" s="19">
        <f t="shared" si="32"/>
        <v>7.6775583747229081</v>
      </c>
      <c r="U53" s="19">
        <f t="shared" si="24"/>
        <v>8.0406476603027492</v>
      </c>
      <c r="V53" s="19">
        <f>(SUM(U$3:U53)/($B53-$B$3+1))</f>
        <v>6.6786043342736505</v>
      </c>
      <c r="W53" s="18">
        <f t="shared" si="19"/>
        <v>8.614283222146824</v>
      </c>
      <c r="X53" s="18">
        <f t="shared" si="20"/>
        <v>7.1672702377653135</v>
      </c>
      <c r="Y53" s="20">
        <f t="shared" si="6"/>
        <v>7890.7767299560683</v>
      </c>
      <c r="Z53" s="20">
        <f>(SUM(Y$3:Y53)/($B53-$B$3+1))</f>
        <v>5836.0567566347545</v>
      </c>
      <c r="AA53" s="21">
        <f>SUM(Y$3:Y53)/1000</f>
        <v>297.63889458837252</v>
      </c>
      <c r="AB53" s="20">
        <f t="shared" si="7"/>
        <v>3424.3019925732074</v>
      </c>
      <c r="AC53" s="20">
        <f>(SUM(AB$3:AB53)/($B53-$B$3+1))</f>
        <v>3378.4869004308339</v>
      </c>
      <c r="AD53" s="18">
        <f t="shared" si="27"/>
        <v>6.4977136187355997</v>
      </c>
      <c r="AE53" s="18">
        <f t="shared" si="27"/>
        <v>5.5019729860324151</v>
      </c>
      <c r="AF53" s="20">
        <f t="shared" si="9"/>
        <v>5999.843302384008</v>
      </c>
      <c r="AG53" s="20">
        <f>(SUM(AF$3:AF53)/($B53-$B$3+1))</f>
        <v>4437.513218527336</v>
      </c>
      <c r="AH53" s="22">
        <f>SUM(AF$3:AF53)/1000</f>
        <v>226.31317414489411</v>
      </c>
      <c r="AI53" s="20">
        <v>2603.7076042823169</v>
      </c>
      <c r="AJ53" s="20">
        <f>(SUM(AI$3:AI53)/($B53-$B$3+1))</f>
        <v>2568.8715693587874</v>
      </c>
      <c r="AK53" s="21">
        <f>SUM(AI$3:AI53)/1000</f>
        <v>131.01245003729815</v>
      </c>
      <c r="AL53" s="23">
        <f t="shared" si="21"/>
        <v>2.5709908634376299</v>
      </c>
      <c r="AM53" s="23">
        <f t="shared" si="22"/>
        <v>2.7316459330061416</v>
      </c>
      <c r="AN53" s="24">
        <f t="shared" si="10"/>
        <v>0.88038491365569871</v>
      </c>
      <c r="AO53" s="24">
        <f t="shared" si="11"/>
        <v>0.93539806113974289</v>
      </c>
      <c r="AP53" s="24">
        <f t="shared" si="25"/>
        <v>0.90789148739772085</v>
      </c>
      <c r="AQ53" s="24">
        <f>(SUM(AP$3:AP53)/($B53-$B$3+1))</f>
        <v>1.1003107781962769</v>
      </c>
      <c r="AR53" s="21">
        <f t="shared" si="28"/>
        <v>21.970550893585411</v>
      </c>
      <c r="AS53" s="21">
        <f t="shared" si="28"/>
        <v>19.766178257164739</v>
      </c>
      <c r="AT53" s="21">
        <f t="shared" si="26"/>
        <v>20.868364575375075</v>
      </c>
      <c r="AU53" s="21">
        <f>(SUM(AT$3:AT53)/($B53-$B$3+1))</f>
        <v>18.512081427229823</v>
      </c>
      <c r="AV53" s="22">
        <f>SUM(AT$3:AT53)/1000</f>
        <v>0.94411615278872096</v>
      </c>
    </row>
    <row r="54" spans="1:48" ht="15.6">
      <c r="A54" s="17" t="s">
        <v>63</v>
      </c>
      <c r="B54" s="17">
        <v>111</v>
      </c>
      <c r="C54" s="18">
        <f t="shared" si="0"/>
        <v>67.480049062303436</v>
      </c>
      <c r="D54" s="18">
        <f t="shared" si="1"/>
        <v>64.10949545015221</v>
      </c>
      <c r="E54" s="18">
        <f t="shared" si="13"/>
        <v>65.794772256227816</v>
      </c>
      <c r="F54" s="19">
        <f t="shared" si="23"/>
        <v>1.0272620898630862</v>
      </c>
      <c r="G54" s="19">
        <f t="shared" si="23"/>
        <v>0.93553647422339736</v>
      </c>
      <c r="H54" s="19">
        <f t="shared" si="14"/>
        <v>0.98139928204324178</v>
      </c>
      <c r="I54" s="19">
        <f>(SUM(H$3:H54)/($B54-$B$3+1))</f>
        <v>0.86420469138000355</v>
      </c>
      <c r="J54" s="19"/>
      <c r="K54" s="19">
        <f t="shared" si="15"/>
        <v>2.5151490076641658</v>
      </c>
      <c r="L54" s="19">
        <f t="shared" si="16"/>
        <v>2.1279267733758229</v>
      </c>
      <c r="M54" s="19">
        <f t="shared" si="17"/>
        <v>2.3215378905199944</v>
      </c>
      <c r="N54" s="19">
        <f>(SUM(M$3:M54)/($B54-$B$3+1))</f>
        <v>1.7360774290706582</v>
      </c>
      <c r="O54" s="19">
        <f t="shared" si="29"/>
        <v>2.4484004933924757</v>
      </c>
      <c r="P54" s="19">
        <f t="shared" si="30"/>
        <v>2.2745524434440103</v>
      </c>
      <c r="Q54" s="19">
        <f t="shared" si="18"/>
        <v>2.361476468418243</v>
      </c>
      <c r="R54" s="19">
        <f>(SUM(Q$3:Q54)/($B54-$B$3+1))</f>
        <v>1.9832513891877879</v>
      </c>
      <c r="S54" s="19">
        <f t="shared" si="31"/>
        <v>8.4567885550307782</v>
      </c>
      <c r="T54" s="19">
        <f t="shared" si="32"/>
        <v>7.7186245444450998</v>
      </c>
      <c r="U54" s="19">
        <f t="shared" si="24"/>
        <v>8.0877065497379395</v>
      </c>
      <c r="V54" s="19">
        <f>(SUM(U$3:U54)/($B54-$B$3+1))</f>
        <v>6.70570245380181</v>
      </c>
      <c r="W54" s="18">
        <f t="shared" si="19"/>
        <v>8.6873382845711458</v>
      </c>
      <c r="X54" s="18">
        <f t="shared" si="20"/>
        <v>7.2210547921643453</v>
      </c>
      <c r="Y54" s="20">
        <f t="shared" si="6"/>
        <v>7954.1965383677452</v>
      </c>
      <c r="Z54" s="20">
        <f>(SUM(Y$3:Y54)/($B54-$B$3+1))</f>
        <v>5876.7902139757734</v>
      </c>
      <c r="AA54" s="21">
        <f>SUM(Y$3:Y54)/1000</f>
        <v>305.59309112674021</v>
      </c>
      <c r="AB54" s="20">
        <f t="shared" si="7"/>
        <v>3426.2617770955735</v>
      </c>
      <c r="AC54" s="20">
        <f>(SUM(AB$3:AB54)/($B54-$B$3+1))</f>
        <v>3379.4056480590025</v>
      </c>
      <c r="AD54" s="18">
        <f t="shared" si="27"/>
        <v>6.5524605334142763</v>
      </c>
      <c r="AE54" s="18">
        <f t="shared" si="27"/>
        <v>5.5436700402453525</v>
      </c>
      <c r="AF54" s="20">
        <f t="shared" si="9"/>
        <v>6048.0652868298148</v>
      </c>
      <c r="AG54" s="20">
        <f>(SUM(AF$3:AF54)/($B54-$B$3+1))</f>
        <v>4468.4853736869982</v>
      </c>
      <c r="AH54" s="22">
        <f>SUM(AF$3:AF54)/1000</f>
        <v>232.36123943172393</v>
      </c>
      <c r="AI54" s="20">
        <v>2605.1977490986055</v>
      </c>
      <c r="AJ54" s="20">
        <f>(SUM(AI$3:AI54)/($B54-$B$3+1))</f>
        <v>2569.5701497383993</v>
      </c>
      <c r="AK54" s="21">
        <f>SUM(AI$3:AI54)/1000</f>
        <v>133.61764778639676</v>
      </c>
      <c r="AL54" s="23">
        <f t="shared" si="21"/>
        <v>2.5498799280072251</v>
      </c>
      <c r="AM54" s="23">
        <f t="shared" si="22"/>
        <v>2.7104983225833346</v>
      </c>
      <c r="AN54" s="24">
        <f t="shared" si="10"/>
        <v>0.87365561335143682</v>
      </c>
      <c r="AO54" s="24">
        <f t="shared" si="11"/>
        <v>0.92868767995489476</v>
      </c>
      <c r="AP54" s="24">
        <f t="shared" si="25"/>
        <v>0.90117164665316585</v>
      </c>
      <c r="AQ54" s="24">
        <f>(SUM(AP$3:AP54)/($B54-$B$3+1))</f>
        <v>1.0964811795127554</v>
      </c>
      <c r="AR54" s="21">
        <f t="shared" si="28"/>
        <v>21.973740489610943</v>
      </c>
      <c r="AS54" s="21">
        <f t="shared" si="28"/>
        <v>19.761793782802982</v>
      </c>
      <c r="AT54" s="21">
        <f t="shared" si="26"/>
        <v>20.867767136206965</v>
      </c>
      <c r="AU54" s="21">
        <f>(SUM(AT$3:AT54)/($B54-$B$3+1))</f>
        <v>18.557383075479382</v>
      </c>
      <c r="AV54" s="22">
        <f>SUM(AT$3:AT54)/1000</f>
        <v>0.96498391992492794</v>
      </c>
    </row>
    <row r="55" spans="1:48" ht="15.6">
      <c r="A55" s="17" t="s">
        <v>63</v>
      </c>
      <c r="B55" s="17">
        <v>112</v>
      </c>
      <c r="C55" s="18">
        <f t="shared" si="0"/>
        <v>68.507311152166523</v>
      </c>
      <c r="D55" s="18">
        <f t="shared" si="1"/>
        <v>65.045031924375607</v>
      </c>
      <c r="E55" s="18">
        <f t="shared" si="13"/>
        <v>66.776171538271058</v>
      </c>
      <c r="F55" s="19">
        <f t="shared" si="23"/>
        <v>1.0293147881290565</v>
      </c>
      <c r="G55" s="19">
        <f t="shared" si="23"/>
        <v>0.93741890851391929</v>
      </c>
      <c r="H55" s="19">
        <f t="shared" si="14"/>
        <v>0.98336684832148791</v>
      </c>
      <c r="I55" s="19">
        <f>(SUM(H$3:H55)/($B55-$B$3+1))</f>
        <v>0.86645303396380513</v>
      </c>
      <c r="J55" s="19"/>
      <c r="K55" s="19">
        <f t="shared" si="15"/>
        <v>2.5342095220876959</v>
      </c>
      <c r="L55" s="19">
        <f t="shared" si="16"/>
        <v>2.1425159043896684</v>
      </c>
      <c r="M55" s="19">
        <f t="shared" si="17"/>
        <v>2.3383627132386824</v>
      </c>
      <c r="N55" s="19">
        <f>(SUM(M$3:M55)/($B55-$B$3+1))</f>
        <v>1.7474413023568474</v>
      </c>
      <c r="O55" s="19">
        <f t="shared" si="29"/>
        <v>2.4620354738068273</v>
      </c>
      <c r="P55" s="19">
        <f t="shared" si="30"/>
        <v>2.2855479923977393</v>
      </c>
      <c r="Q55" s="19">
        <f t="shared" si="18"/>
        <v>2.3737917331022835</v>
      </c>
      <c r="R55" s="19">
        <f>(SUM(Q$3:Q55)/($B55-$B$3+1))</f>
        <v>1.9906200749220235</v>
      </c>
      <c r="S55" s="19">
        <f t="shared" si="31"/>
        <v>8.509234511028275</v>
      </c>
      <c r="T55" s="19">
        <f t="shared" si="32"/>
        <v>7.759758818583868</v>
      </c>
      <c r="U55" s="19">
        <f t="shared" si="24"/>
        <v>8.1344966648060719</v>
      </c>
      <c r="V55" s="19">
        <f>(SUM(U$3:U55)/($B55-$B$3+1))</f>
        <v>6.7326608351415134</v>
      </c>
      <c r="W55" s="18">
        <f t="shared" si="19"/>
        <v>8.7586809178595253</v>
      </c>
      <c r="X55" s="18">
        <f t="shared" si="20"/>
        <v>7.2741446420481495</v>
      </c>
      <c r="Y55" s="20">
        <f t="shared" si="6"/>
        <v>8016.4127799538373</v>
      </c>
      <c r="Z55" s="20">
        <f>(SUM(Y$3:Y55)/($B55-$B$3+1))</f>
        <v>5917.1604510696998</v>
      </c>
      <c r="AA55" s="21">
        <f>SUM(Y$3:Y55)/1000</f>
        <v>313.60950390669404</v>
      </c>
      <c r="AB55" s="20">
        <f t="shared" si="7"/>
        <v>3428.2161336942181</v>
      </c>
      <c r="AC55" s="20">
        <f>(SUM(AB$3:AB55)/($B55-$B$3+1))</f>
        <v>3380.3266006181575</v>
      </c>
      <c r="AD55" s="18">
        <f t="shared" si="27"/>
        <v>6.6058828227194661</v>
      </c>
      <c r="AE55" s="18">
        <f t="shared" si="27"/>
        <v>5.5848614279341362</v>
      </c>
      <c r="AF55" s="20">
        <f t="shared" si="9"/>
        <v>6095.3721253268004</v>
      </c>
      <c r="AG55" s="20">
        <f>(SUM(AF$3:AF55)/($B55-$B$3+1))</f>
        <v>4499.1813501330325</v>
      </c>
      <c r="AH55" s="22">
        <f>SUM(AF$3:AF55)/1000</f>
        <v>238.45661155705073</v>
      </c>
      <c r="AI55" s="20">
        <v>2606.6837667303466</v>
      </c>
      <c r="AJ55" s="20">
        <f>(SUM(AI$3:AI55)/($B55-$B$3+1))</f>
        <v>2570.2704066627753</v>
      </c>
      <c r="AK55" s="21">
        <f>SUM(AI$3:AI55)/1000</f>
        <v>136.22433155312709</v>
      </c>
      <c r="AL55" s="23">
        <f t="shared" si="21"/>
        <v>2.5290309226404375</v>
      </c>
      <c r="AM55" s="23">
        <f t="shared" si="22"/>
        <v>2.6896453244572012</v>
      </c>
      <c r="AN55" s="24">
        <f t="shared" si="10"/>
        <v>0.8670064611607522</v>
      </c>
      <c r="AO55" s="24">
        <f t="shared" si="11"/>
        <v>0.92206854952193973</v>
      </c>
      <c r="AP55" s="24">
        <f t="shared" si="25"/>
        <v>0.89453750534134602</v>
      </c>
      <c r="AQ55" s="24">
        <f>(SUM(AP$3:AP55)/($B55-$B$3+1))</f>
        <v>1.0926709215095214</v>
      </c>
      <c r="AR55" s="21">
        <f t="shared" si="28"/>
        <v>21.971760295851343</v>
      </c>
      <c r="AS55" s="21">
        <f t="shared" si="28"/>
        <v>19.755465322882685</v>
      </c>
      <c r="AT55" s="21">
        <f t="shared" si="26"/>
        <v>20.863612809367012</v>
      </c>
      <c r="AU55" s="21">
        <f>(SUM(AT$3:AT55)/($B55-$B$3+1))</f>
        <v>18.600896844043302</v>
      </c>
      <c r="AV55" s="22">
        <f>SUM(AT$3:AT55)/1000</f>
        <v>0.98584753273429504</v>
      </c>
    </row>
    <row r="56" spans="1:48" ht="15.6">
      <c r="A56" s="17" t="s">
        <v>63</v>
      </c>
      <c r="B56" s="17">
        <v>113</v>
      </c>
      <c r="C56" s="18">
        <f t="shared" si="0"/>
        <v>69.536625940295579</v>
      </c>
      <c r="D56" s="18">
        <f t="shared" si="1"/>
        <v>65.982450832889526</v>
      </c>
      <c r="E56" s="18">
        <f t="shared" si="13"/>
        <v>67.759538386592553</v>
      </c>
      <c r="F56" s="19">
        <f t="shared" si="23"/>
        <v>1.0312135941402261</v>
      </c>
      <c r="G56" s="19">
        <f t="shared" si="23"/>
        <v>0.93918364447266356</v>
      </c>
      <c r="H56" s="19">
        <f t="shared" si="14"/>
        <v>0.98519861930644481</v>
      </c>
      <c r="I56" s="19">
        <f>(SUM(H$3:H56)/($B56-$B$3+1))</f>
        <v>0.86865202628496518</v>
      </c>
      <c r="J56" s="19"/>
      <c r="K56" s="19">
        <f t="shared" si="15"/>
        <v>2.5527490185158879</v>
      </c>
      <c r="L56" s="19">
        <f t="shared" si="16"/>
        <v>2.1568987855818613</v>
      </c>
      <c r="M56" s="19">
        <f t="shared" si="17"/>
        <v>2.3548239020488744</v>
      </c>
      <c r="N56" s="19">
        <f>(SUM(M$3:M56)/($B56-$B$3+1))</f>
        <v>1.7586891282770702</v>
      </c>
      <c r="O56" s="19">
        <f t="shared" si="29"/>
        <v>2.4754803786738684</v>
      </c>
      <c r="P56" s="19">
        <f t="shared" si="30"/>
        <v>2.2965676609423125</v>
      </c>
      <c r="Q56" s="19">
        <f t="shared" si="18"/>
        <v>2.3860240198080902</v>
      </c>
      <c r="R56" s="19">
        <f>(SUM(Q$3:Q56)/($B56-$B$3+1))</f>
        <v>1.9979423701976915</v>
      </c>
      <c r="S56" s="19">
        <f t="shared" si="31"/>
        <v>8.5610995623861452</v>
      </c>
      <c r="T56" s="19">
        <f t="shared" si="32"/>
        <v>7.8009689768359776</v>
      </c>
      <c r="U56" s="19">
        <f t="shared" si="24"/>
        <v>8.1810342696110609</v>
      </c>
      <c r="V56" s="19">
        <f>(SUM(U$3:U56)/($B56-$B$3+1))</f>
        <v>6.7594825654094679</v>
      </c>
      <c r="W56" s="18">
        <f t="shared" si="19"/>
        <v>8.828322249520534</v>
      </c>
      <c r="X56" s="18">
        <f t="shared" si="20"/>
        <v>7.3265424740829985</v>
      </c>
      <c r="Y56" s="20">
        <f t="shared" si="6"/>
        <v>8077.4323618017652</v>
      </c>
      <c r="Z56" s="20">
        <f>(SUM(Y$3:Y56)/($B56-$B$3+1))</f>
        <v>5957.1654864536258</v>
      </c>
      <c r="AA56" s="21">
        <f>SUM(Y$3:Y56)/1000</f>
        <v>321.6869362684958</v>
      </c>
      <c r="AB56" s="20">
        <f t="shared" si="7"/>
        <v>3430.1640792646067</v>
      </c>
      <c r="AC56" s="20">
        <f>(SUM(AB$3:AB56)/($B56-$B$3+1))</f>
        <v>3381.2495168893884</v>
      </c>
      <c r="AD56" s="18">
        <f t="shared" si="27"/>
        <v>6.6579904132688927</v>
      </c>
      <c r="AE56" s="18">
        <f t="shared" si="27"/>
        <v>5.6255477262485805</v>
      </c>
      <c r="AF56" s="20">
        <f t="shared" si="9"/>
        <v>6141.7690697587368</v>
      </c>
      <c r="AG56" s="20">
        <f>(SUM(AF$3:AF56)/($B56-$B$3+1))</f>
        <v>4529.5996412372124</v>
      </c>
      <c r="AH56" s="22">
        <f>SUM(AF$3:AF56)/1000</f>
        <v>244.59838062680947</v>
      </c>
      <c r="AI56" s="20">
        <v>2608.1649096626434</v>
      </c>
      <c r="AJ56" s="20">
        <f>(SUM(AI$3:AI56)/($B56-$B$3+1))</f>
        <v>2570.9721567183287</v>
      </c>
      <c r="AK56" s="21">
        <f>SUM(AI$3:AI56)/1000</f>
        <v>138.83249646278975</v>
      </c>
      <c r="AL56" s="23">
        <f t="shared" si="21"/>
        <v>2.5084489179826357</v>
      </c>
      <c r="AM56" s="23">
        <f t="shared" si="22"/>
        <v>2.6690917088384136</v>
      </c>
      <c r="AN56" s="24">
        <f t="shared" si="10"/>
        <v>0.86043913731342081</v>
      </c>
      <c r="AO56" s="24">
        <f t="shared" si="11"/>
        <v>0.91554225039205139</v>
      </c>
      <c r="AP56" s="24">
        <f t="shared" si="25"/>
        <v>0.8879906938527361</v>
      </c>
      <c r="AQ56" s="24">
        <f>(SUM(AP$3:AP56)/($B56-$B$3+1))</f>
        <v>1.0888805469232845</v>
      </c>
      <c r="AR56" s="21">
        <f t="shared" si="28"/>
        <v>21.96485163269492</v>
      </c>
      <c r="AS56" s="21">
        <f t="shared" si="28"/>
        <v>19.747319680195002</v>
      </c>
      <c r="AT56" s="21">
        <f t="shared" si="26"/>
        <v>20.856085656444961</v>
      </c>
      <c r="AU56" s="21">
        <f>(SUM(AT$3:AT56)/($B56-$B$3+1))</f>
        <v>18.642659599828519</v>
      </c>
      <c r="AV56" s="22">
        <f>SUM(AT$3:AT56)/1000</f>
        <v>1.0067036183907399</v>
      </c>
    </row>
    <row r="57" spans="1:48" ht="15.6">
      <c r="A57" s="17" t="s">
        <v>63</v>
      </c>
      <c r="B57" s="17">
        <v>114</v>
      </c>
      <c r="C57" s="18">
        <f t="shared" si="0"/>
        <v>70.567839534435805</v>
      </c>
      <c r="D57" s="18">
        <f t="shared" si="1"/>
        <v>66.92163447736219</v>
      </c>
      <c r="E57" s="18">
        <f t="shared" si="13"/>
        <v>68.744737005898997</v>
      </c>
      <c r="F57" s="19">
        <f t="shared" si="23"/>
        <v>1.0329601620138504</v>
      </c>
      <c r="G57" s="19">
        <f t="shared" si="23"/>
        <v>0.94083194269917669</v>
      </c>
      <c r="H57" s="19">
        <f t="shared" si="14"/>
        <v>0.98689605235651356</v>
      </c>
      <c r="I57" s="19">
        <f>(SUM(H$3:H57)/($B57-$B$3+1))</f>
        <v>0.87080191766808424</v>
      </c>
      <c r="J57" s="19"/>
      <c r="K57" s="19">
        <f t="shared" si="15"/>
        <v>2.5707735221848322</v>
      </c>
      <c r="L57" s="19">
        <f t="shared" si="16"/>
        <v>2.1710767566279996</v>
      </c>
      <c r="M57" s="19">
        <f t="shared" si="17"/>
        <v>2.3709251394064159</v>
      </c>
      <c r="N57" s="19">
        <f>(SUM(M$3:M57)/($B57-$B$3+1))</f>
        <v>1.7698206921157855</v>
      </c>
      <c r="O57" s="19">
        <f t="shared" si="29"/>
        <v>2.4887441130090378</v>
      </c>
      <c r="P57" s="19">
        <f t="shared" si="30"/>
        <v>2.3076137810535453</v>
      </c>
      <c r="Q57" s="19">
        <f t="shared" si="18"/>
        <v>2.3981789470312913</v>
      </c>
      <c r="R57" s="19">
        <f>(SUM(Q$3:Q57)/($B57-$B$3+1))</f>
        <v>2.0052193988673936</v>
      </c>
      <c r="S57" s="19">
        <f t="shared" si="31"/>
        <v>8.6124087429582445</v>
      </c>
      <c r="T57" s="19">
        <f t="shared" si="32"/>
        <v>7.8422627265272569</v>
      </c>
      <c r="U57" s="19">
        <f t="shared" si="24"/>
        <v>8.2273357347427503</v>
      </c>
      <c r="V57" s="19">
        <f>(SUM(U$3:U57)/($B57-$B$3+1))</f>
        <v>6.7861708048518912</v>
      </c>
      <c r="W57" s="18">
        <f t="shared" si="19"/>
        <v>8.8962751304556509</v>
      </c>
      <c r="X57" s="18">
        <f t="shared" si="20"/>
        <v>7.3782512761559813</v>
      </c>
      <c r="Y57" s="20">
        <f t="shared" si="6"/>
        <v>8137.2632033058153</v>
      </c>
      <c r="Z57" s="20">
        <f>(SUM(Y$3:Y57)/($B57-$B$3+1))</f>
        <v>5996.8036267600301</v>
      </c>
      <c r="AA57" s="21">
        <f>SUM(Y$3:Y57)/1000</f>
        <v>329.82419947180165</v>
      </c>
      <c r="AB57" s="20">
        <f t="shared" si="7"/>
        <v>3432.1046531832117</v>
      </c>
      <c r="AC57" s="20">
        <f>(SUM(AB$3:AB57)/($B57-$B$3+1))</f>
        <v>3382.1741557310943</v>
      </c>
      <c r="AD57" s="18">
        <f t="shared" si="27"/>
        <v>6.7087945647894855</v>
      </c>
      <c r="AE57" s="18">
        <f t="shared" si="27"/>
        <v>5.665729718667726</v>
      </c>
      <c r="AF57" s="20">
        <f t="shared" si="9"/>
        <v>6187.2621417286064</v>
      </c>
      <c r="AG57" s="20">
        <f>(SUM(AF$3:AF57)/($B57-$B$3+1))</f>
        <v>4559.7389594279648</v>
      </c>
      <c r="AH57" s="22">
        <f>SUM(AF$3:AF57)/1000</f>
        <v>250.78564276853805</v>
      </c>
      <c r="AI57" s="20">
        <v>2609.6404474742912</v>
      </c>
      <c r="AJ57" s="20">
        <f>(SUM(AI$3:AI57)/($B57-$B$3+1))</f>
        <v>2571.6752165502553</v>
      </c>
      <c r="AK57" s="21">
        <f>SUM(AI$3:AI57)/1000</f>
        <v>141.44213691026403</v>
      </c>
      <c r="AL57" s="23">
        <f t="shared" si="21"/>
        <v>2.4881387703350946</v>
      </c>
      <c r="AM57" s="23">
        <f t="shared" si="22"/>
        <v>2.6488420503328829</v>
      </c>
      <c r="AN57" s="24">
        <f t="shared" si="10"/>
        <v>0.85395526514326325</v>
      </c>
      <c r="AO57" s="24">
        <f t="shared" si="11"/>
        <v>0.90911031264948472</v>
      </c>
      <c r="AP57" s="24">
        <f t="shared" si="25"/>
        <v>0.88153278889637399</v>
      </c>
      <c r="AQ57" s="24">
        <f>(SUM(AP$3:AP57)/($B57-$B$3+1))</f>
        <v>1.0851105876864315</v>
      </c>
      <c r="AR57" s="21">
        <f t="shared" si="28"/>
        <v>21.953255847606293</v>
      </c>
      <c r="AS57" s="21">
        <f t="shared" si="28"/>
        <v>19.737482690041098</v>
      </c>
      <c r="AT57" s="21">
        <f t="shared" si="26"/>
        <v>20.845369268823696</v>
      </c>
      <c r="AU57" s="21">
        <f>(SUM(AT$3:AT57)/($B57-$B$3+1))</f>
        <v>18.682708866537521</v>
      </c>
      <c r="AV57" s="22">
        <f>SUM(AT$3:AT57)/1000</f>
        <v>1.0275489876595636</v>
      </c>
    </row>
    <row r="58" spans="1:48" ht="15.6">
      <c r="A58" s="17" t="s">
        <v>63</v>
      </c>
      <c r="B58" s="17">
        <v>115</v>
      </c>
      <c r="C58" s="18">
        <f t="shared" si="0"/>
        <v>71.600799696449656</v>
      </c>
      <c r="D58" s="18">
        <f t="shared" si="1"/>
        <v>67.862466420061367</v>
      </c>
      <c r="E58" s="18">
        <f t="shared" si="13"/>
        <v>69.731633058255511</v>
      </c>
      <c r="F58" s="19">
        <f t="shared" si="23"/>
        <v>1.0345561855872347</v>
      </c>
      <c r="G58" s="19">
        <f t="shared" si="23"/>
        <v>0.94236508331054836</v>
      </c>
      <c r="H58" s="19">
        <f t="shared" si="14"/>
        <v>0.98846063444889154</v>
      </c>
      <c r="I58" s="19">
        <f>(SUM(H$3:H58)/($B58-$B$3+1))</f>
        <v>0.87290296618202723</v>
      </c>
      <c r="J58" s="19"/>
      <c r="K58" s="19">
        <f t="shared" si="15"/>
        <v>2.5882895184013046</v>
      </c>
      <c r="L58" s="19">
        <f t="shared" si="16"/>
        <v>2.1850512290860653</v>
      </c>
      <c r="M58" s="19">
        <f t="shared" si="17"/>
        <v>2.386670373743685</v>
      </c>
      <c r="N58" s="19">
        <f>(SUM(M$3:M58)/($B58-$B$3+1))</f>
        <v>1.780835865001998</v>
      </c>
      <c r="O58" s="19">
        <f t="shared" si="29"/>
        <v>2.5018356223274041</v>
      </c>
      <c r="P58" s="19">
        <f t="shared" si="30"/>
        <v>2.318688656640306</v>
      </c>
      <c r="Q58" s="19">
        <f t="shared" si="18"/>
        <v>2.410262139483855</v>
      </c>
      <c r="R58" s="19">
        <f>(SUM(Q$3:Q58)/($B58-$B$3+1))</f>
        <v>2.01245230494983</v>
      </c>
      <c r="S58" s="19">
        <f t="shared" si="31"/>
        <v>8.663187322102301</v>
      </c>
      <c r="T58" s="19">
        <f t="shared" si="32"/>
        <v>7.883647701132424</v>
      </c>
      <c r="U58" s="19">
        <f t="shared" si="24"/>
        <v>8.2734175116173621</v>
      </c>
      <c r="V58" s="19">
        <f>(SUM(U$3:U58)/($B58-$B$3+1))</f>
        <v>6.812728781758417</v>
      </c>
      <c r="W58" s="18">
        <f t="shared" si="19"/>
        <v>8.9625540309818472</v>
      </c>
      <c r="X58" s="18">
        <f t="shared" si="20"/>
        <v>7.4292743226686699</v>
      </c>
      <c r="Y58" s="20">
        <f t="shared" si="6"/>
        <v>8195.9141768252593</v>
      </c>
      <c r="Z58" s="20">
        <f>(SUM(Y$3:Y58)/($B58-$B$3+1))</f>
        <v>6036.0734580111948</v>
      </c>
      <c r="AA58" s="21">
        <f>SUM(Y$3:Y58)/1000</f>
        <v>338.02011364862688</v>
      </c>
      <c r="AB58" s="20">
        <f t="shared" si="7"/>
        <v>3434.0369189605799</v>
      </c>
      <c r="AC58" s="20">
        <f>(SUM(AB$3:AB58)/($B58-$B$3+1))</f>
        <v>3383.1002765030494</v>
      </c>
      <c r="AD58" s="18">
        <f t="shared" si="27"/>
        <v>6.7583077853258464</v>
      </c>
      <c r="AE58" s="18">
        <f t="shared" si="27"/>
        <v>5.7054083895488539</v>
      </c>
      <c r="AF58" s="20">
        <f t="shared" si="9"/>
        <v>6231.8580874373502</v>
      </c>
      <c r="AG58" s="20">
        <f>(SUM(AF$3:AF58)/($B58-$B$3+1))</f>
        <v>4589.5982295709891</v>
      </c>
      <c r="AH58" s="22">
        <f>SUM(AF$3:AF58)/1000</f>
        <v>257.01750085597541</v>
      </c>
      <c r="AI58" s="20">
        <v>2611.1096680947098</v>
      </c>
      <c r="AJ58" s="20">
        <f>(SUM(AI$3:AI58)/($B58-$B$3+1))</f>
        <v>2572.3794031849779</v>
      </c>
      <c r="AK58" s="21">
        <f>SUM(AI$3:AI58)/1000</f>
        <v>144.05324657835877</v>
      </c>
      <c r="AL58" s="23">
        <f t="shared" si="21"/>
        <v>2.4681051223828288</v>
      </c>
      <c r="AM58" s="23">
        <f t="shared" si="22"/>
        <v>2.6289007289328428</v>
      </c>
      <c r="AN58" s="24">
        <f t="shared" si="10"/>
        <v>0.84755641101383539</v>
      </c>
      <c r="AO58" s="24">
        <f t="shared" si="11"/>
        <v>0.90277421594377627</v>
      </c>
      <c r="AP58" s="24">
        <f t="shared" si="25"/>
        <v>0.87516531347880577</v>
      </c>
      <c r="AQ58" s="24">
        <f>(SUM(AP$3:AP58)/($B58-$B$3+1))</f>
        <v>1.081361564932724</v>
      </c>
      <c r="AR58" s="21">
        <f t="shared" si="28"/>
        <v>21.937213748809381</v>
      </c>
      <c r="AS58" s="21">
        <f t="shared" si="28"/>
        <v>19.726079101351573</v>
      </c>
      <c r="AT58" s="21">
        <f t="shared" si="26"/>
        <v>20.831646425080478</v>
      </c>
      <c r="AU58" s="21">
        <f>(SUM(AT$3:AT58)/($B58-$B$3+1))</f>
        <v>18.721082751511499</v>
      </c>
      <c r="AV58" s="22">
        <f>SUM(AT$3:AT58)/1000</f>
        <v>1.048380634084644</v>
      </c>
    </row>
    <row r="59" spans="1:48" ht="15.6">
      <c r="A59" s="17" t="s">
        <v>63</v>
      </c>
      <c r="B59" s="17">
        <v>116</v>
      </c>
      <c r="C59" s="18">
        <f t="shared" si="0"/>
        <v>72.63535588203689</v>
      </c>
      <c r="D59" s="18">
        <f t="shared" si="1"/>
        <v>68.804831503371915</v>
      </c>
      <c r="E59" s="18">
        <f t="shared" si="13"/>
        <v>70.72009369270441</v>
      </c>
      <c r="F59" s="19">
        <f t="shared" si="23"/>
        <v>1.0360033963312247</v>
      </c>
      <c r="G59" s="19">
        <f t="shared" si="23"/>
        <v>0.94378436482443817</v>
      </c>
      <c r="H59" s="19">
        <f t="shared" si="14"/>
        <v>0.98989388057783145</v>
      </c>
      <c r="I59" s="19">
        <f>(SUM(H$3:H59)/($B59-$B$3+1))</f>
        <v>0.8749554383644097</v>
      </c>
      <c r="J59" s="19"/>
      <c r="K59" s="19">
        <f t="shared" si="15"/>
        <v>2.6053039160963842</v>
      </c>
      <c r="L59" s="19">
        <f t="shared" si="16"/>
        <v>2.1988236821409757</v>
      </c>
      <c r="M59" s="19">
        <f t="shared" si="17"/>
        <v>2.4020637991186797</v>
      </c>
      <c r="N59" s="19">
        <f>(SUM(M$3:M59)/($B59-$B$3+1))</f>
        <v>1.7917346006882555</v>
      </c>
      <c r="O59" s="19">
        <f t="shared" si="29"/>
        <v>2.5147638756035819</v>
      </c>
      <c r="P59" s="19">
        <f t="shared" si="30"/>
        <v>2.3297945633481634</v>
      </c>
      <c r="Q59" s="19">
        <f t="shared" si="18"/>
        <v>2.4222792194758727</v>
      </c>
      <c r="R59" s="19">
        <f>(SUM(Q$3:Q59)/($B59-$B$3+1))</f>
        <v>2.0196422508187082</v>
      </c>
      <c r="S59" s="19">
        <f t="shared" si="31"/>
        <v>8.713460756719126</v>
      </c>
      <c r="T59" s="19">
        <f t="shared" si="32"/>
        <v>7.9251314589782194</v>
      </c>
      <c r="U59" s="19">
        <f t="shared" si="24"/>
        <v>8.3192961078486718</v>
      </c>
      <c r="V59" s="19">
        <f>(SUM(U$3:U59)/($B59-$B$3+1))</f>
        <v>6.8391597874792991</v>
      </c>
      <c r="W59" s="18">
        <f t="shared" si="19"/>
        <v>9.0271749377598578</v>
      </c>
      <c r="X59" s="18">
        <f t="shared" si="20"/>
        <v>7.4796151601619316</v>
      </c>
      <c r="Y59" s="20">
        <f t="shared" si="6"/>
        <v>8253.395048960896</v>
      </c>
      <c r="Z59" s="20">
        <f>(SUM(Y$3:Y59)/($B59-$B$3+1))</f>
        <v>6074.9738367997852</v>
      </c>
      <c r="AA59" s="21">
        <f>SUM(Y$3:Y59)/1000</f>
        <v>346.27350869758777</v>
      </c>
      <c r="AB59" s="20">
        <f t="shared" si="7"/>
        <v>3435.959965754897</v>
      </c>
      <c r="AC59" s="20">
        <f>(SUM(AB$3:AB59)/($B59-$B$3+1))</f>
        <v>3384.0276394723801</v>
      </c>
      <c r="AD59" s="18">
        <f t="shared" si="27"/>
        <v>6.8065437473242172</v>
      </c>
      <c r="AE59" s="18">
        <f t="shared" si="27"/>
        <v>5.7445849187413502</v>
      </c>
      <c r="AF59" s="20">
        <f t="shared" si="9"/>
        <v>6275.5643330327839</v>
      </c>
      <c r="AG59" s="20">
        <f>(SUM(AF$3:AF59)/($B59-$B$3+1))</f>
        <v>4619.1765822633015</v>
      </c>
      <c r="AH59" s="22">
        <f>SUM(AF$3:AF59)/1000</f>
        <v>263.29306518900819</v>
      </c>
      <c r="AI59" s="20">
        <v>2612.5718789547955</v>
      </c>
      <c r="AJ59" s="20">
        <f>(SUM(AI$3:AI59)/($B59-$B$3+1))</f>
        <v>2573.0845343388341</v>
      </c>
      <c r="AK59" s="21">
        <f>SUM(AI$3:AI59)/1000</f>
        <v>146.66581845731355</v>
      </c>
      <c r="AL59" s="23">
        <f t="shared" si="21"/>
        <v>2.4483524041198139</v>
      </c>
      <c r="AM59" s="23">
        <f t="shared" si="22"/>
        <v>2.609271931142723</v>
      </c>
      <c r="AN59" s="24">
        <f t="shared" si="10"/>
        <v>0.84124408426154351</v>
      </c>
      <c r="AO59" s="24">
        <f t="shared" si="11"/>
        <v>0.8965353895174365</v>
      </c>
      <c r="AP59" s="24">
        <f t="shared" si="25"/>
        <v>0.86888973688949001</v>
      </c>
      <c r="AQ59" s="24">
        <f>(SUM(AP$3:AP59)/($B59-$B$3+1))</f>
        <v>1.0776339890021409</v>
      </c>
      <c r="AR59" s="21">
        <f t="shared" si="28"/>
        <v>21.916965071195161</v>
      </c>
      <c r="AS59" s="21">
        <f t="shared" si="28"/>
        <v>19.713232463484236</v>
      </c>
      <c r="AT59" s="21">
        <f t="shared" si="26"/>
        <v>20.815098767339698</v>
      </c>
      <c r="AU59" s="21">
        <f>(SUM(AT$3:AT59)/($B59-$B$3+1))</f>
        <v>18.757819874596208</v>
      </c>
      <c r="AV59" s="22">
        <f>SUM(AT$3:AT59)/1000</f>
        <v>1.0691957328519839</v>
      </c>
    </row>
    <row r="60" spans="1:48" ht="15.6">
      <c r="A60" s="17" t="s">
        <v>63</v>
      </c>
      <c r="B60" s="17">
        <v>117</v>
      </c>
      <c r="C60" s="18">
        <f t="shared" si="0"/>
        <v>73.671359278368115</v>
      </c>
      <c r="D60" s="18">
        <f t="shared" si="1"/>
        <v>69.748615868196353</v>
      </c>
      <c r="E60" s="18">
        <f t="shared" si="13"/>
        <v>71.709987573282234</v>
      </c>
      <c r="F60" s="19">
        <f t="shared" si="23"/>
        <v>1.0373035612850003</v>
      </c>
      <c r="G60" s="19">
        <f t="shared" si="23"/>
        <v>0.94509110305840238</v>
      </c>
      <c r="H60" s="19">
        <f t="shared" si="14"/>
        <v>0.99119733217170136</v>
      </c>
      <c r="I60" s="19">
        <f>(SUM(H$3:H60)/($B60-$B$3+1))</f>
        <v>0.87695960894729408</v>
      </c>
      <c r="J60" s="19"/>
      <c r="K60" s="19">
        <f t="shared" si="15"/>
        <v>2.6218240121016487</v>
      </c>
      <c r="L60" s="19">
        <f t="shared" si="16"/>
        <v>2.2123956584687829</v>
      </c>
      <c r="M60" s="19">
        <f t="shared" si="17"/>
        <v>2.4171098352852161</v>
      </c>
      <c r="N60" s="19">
        <f>(SUM(M$3:M60)/($B60-$B$3+1))</f>
        <v>1.8025169323192376</v>
      </c>
      <c r="O60" s="19">
        <f t="shared" si="29"/>
        <v>2.5275378490494735</v>
      </c>
      <c r="P60" s="19">
        <f t="shared" si="30"/>
        <v>2.3409337484071808</v>
      </c>
      <c r="Q60" s="19">
        <f t="shared" si="18"/>
        <v>2.4342357987283272</v>
      </c>
      <c r="R60" s="19">
        <f>(SUM(Q$3:Q60)/($B60-$B$3+1))</f>
        <v>2.0267904154378393</v>
      </c>
      <c r="S60" s="19">
        <f t="shared" si="31"/>
        <v>8.763254645229523</v>
      </c>
      <c r="T60" s="19">
        <f t="shared" si="32"/>
        <v>7.9667214821001426</v>
      </c>
      <c r="U60" s="19">
        <f t="shared" si="24"/>
        <v>8.3649880636648319</v>
      </c>
      <c r="V60" s="19">
        <f>(SUM(U$3:U60)/($B60-$B$3+1))</f>
        <v>6.8654671715514635</v>
      </c>
      <c r="W60" s="18">
        <f t="shared" si="19"/>
        <v>9.0901552519439068</v>
      </c>
      <c r="X60" s="18">
        <f t="shared" si="20"/>
        <v>7.5292775932770937</v>
      </c>
      <c r="Y60" s="20">
        <f t="shared" si="6"/>
        <v>8309.7164226104996</v>
      </c>
      <c r="Z60" s="20">
        <f>(SUM(Y$3:Y60)/($B60-$B$3+1))</f>
        <v>6113.5038813827287</v>
      </c>
      <c r="AA60" s="21">
        <f>SUM(Y$3:Y60)/1000</f>
        <v>354.58322512019828</v>
      </c>
      <c r="AB60" s="20">
        <f t="shared" si="7"/>
        <v>3437.8729097471746</v>
      </c>
      <c r="AC60" s="20">
        <f>(SUM(AB$3:AB60)/($B60-$B$3+1))</f>
        <v>3384.9560062012561</v>
      </c>
      <c r="AD60" s="18">
        <f t="shared" si="27"/>
        <v>6.8535172048475985</v>
      </c>
      <c r="AE60" s="18">
        <f t="shared" si="27"/>
        <v>5.7832606762539926</v>
      </c>
      <c r="AF60" s="20">
        <f t="shared" si="9"/>
        <v>6318.3889405507953</v>
      </c>
      <c r="AG60" s="20">
        <f>(SUM(AF$3:AF60)/($B60-$B$3+1))</f>
        <v>4648.4733470613619</v>
      </c>
      <c r="AH60" s="22">
        <f>SUM(AF$3:AF60)/1000</f>
        <v>269.61145412955898</v>
      </c>
      <c r="AI60" s="20">
        <v>2614.0264080325642</v>
      </c>
      <c r="AJ60" s="20">
        <f>(SUM(AI$3:AI60)/($B60-$B$3+1))</f>
        <v>2573.790428712864</v>
      </c>
      <c r="AK60" s="21">
        <f>SUM(AI$3:AI60)/1000</f>
        <v>149.27984486534612</v>
      </c>
      <c r="AL60" s="23">
        <f t="shared" si="21"/>
        <v>2.428884833964593</v>
      </c>
      <c r="AM60" s="23">
        <f t="shared" si="22"/>
        <v>2.5899596512349268</v>
      </c>
      <c r="AN60" s="24">
        <f t="shared" si="10"/>
        <v>0.83501973715826383</v>
      </c>
      <c r="AO60" s="24">
        <f t="shared" si="11"/>
        <v>0.89039521223187956</v>
      </c>
      <c r="AP60" s="24">
        <f t="shared" si="25"/>
        <v>0.8627074746950717</v>
      </c>
      <c r="AQ60" s="24">
        <f>(SUM(AP$3:AP60)/($B60-$B$3+1))</f>
        <v>1.0739283594451225</v>
      </c>
      <c r="AR60" s="21">
        <f t="shared" si="28"/>
        <v>21.892747974603434</v>
      </c>
      <c r="AS60" s="21">
        <f t="shared" si="28"/>
        <v>19.699065018632009</v>
      </c>
      <c r="AT60" s="21">
        <f t="shared" si="26"/>
        <v>20.795906496617722</v>
      </c>
      <c r="AU60" s="21">
        <f>(SUM(AT$3:AT60)/($B60-$B$3+1))</f>
        <v>18.792959299113821</v>
      </c>
      <c r="AV60" s="22">
        <f>SUM(AT$3:AT60)/1000</f>
        <v>1.0899916393486018</v>
      </c>
    </row>
    <row r="61" spans="1:48" ht="15.6">
      <c r="A61" s="17" t="s">
        <v>63</v>
      </c>
      <c r="B61" s="17">
        <v>118</v>
      </c>
      <c r="C61" s="18">
        <f t="shared" si="0"/>
        <v>74.708662839653115</v>
      </c>
      <c r="D61" s="18">
        <f t="shared" si="1"/>
        <v>70.693706971254755</v>
      </c>
      <c r="E61" s="18">
        <f t="shared" si="13"/>
        <v>72.701184905453943</v>
      </c>
      <c r="F61" s="19">
        <f t="shared" si="23"/>
        <v>1.0384584810149846</v>
      </c>
      <c r="G61" s="19">
        <f t="shared" si="23"/>
        <v>0.94628663004408509</v>
      </c>
      <c r="H61" s="19">
        <f t="shared" si="14"/>
        <v>0.99237255552953485</v>
      </c>
      <c r="I61" s="19">
        <f>(SUM(H$3:H61)/($B61-$B$3+1))</f>
        <v>0.87891576058428122</v>
      </c>
      <c r="J61" s="19"/>
      <c r="K61" s="19">
        <f t="shared" si="15"/>
        <v>2.6378574562428927</v>
      </c>
      <c r="L61" s="19">
        <f t="shared" si="16"/>
        <v>2.2257687602207334</v>
      </c>
      <c r="M61" s="19">
        <f t="shared" si="17"/>
        <v>2.4318131082318128</v>
      </c>
      <c r="N61" s="19">
        <f>(SUM(M$3:M61)/($B61-$B$3+1))</f>
        <v>1.8131829691991117</v>
      </c>
      <c r="O61" s="19">
        <f t="shared" si="29"/>
        <v>2.5401665107156357</v>
      </c>
      <c r="P61" s="19">
        <f t="shared" si="30"/>
        <v>2.3521084305260032</v>
      </c>
      <c r="Q61" s="19">
        <f t="shared" si="18"/>
        <v>2.4461374706208194</v>
      </c>
      <c r="R61" s="19">
        <f>(SUM(Q$3:Q61)/($B61-$B$3+1))</f>
        <v>2.0338979926443308</v>
      </c>
      <c r="S61" s="19">
        <f t="shared" si="31"/>
        <v>8.8125946835149005</v>
      </c>
      <c r="T61" s="19">
        <f t="shared" si="32"/>
        <v>8.0084251752611539</v>
      </c>
      <c r="U61" s="19">
        <f t="shared" si="24"/>
        <v>8.4105099293880272</v>
      </c>
      <c r="V61" s="19">
        <f>(SUM(U$3:U61)/($B61-$B$3+1))</f>
        <v>6.8916543369385233</v>
      </c>
      <c r="W61" s="18">
        <f t="shared" si="19"/>
        <v>9.1515136888436128</v>
      </c>
      <c r="X61" s="18">
        <f t="shared" si="20"/>
        <v>7.5782656710580882</v>
      </c>
      <c r="Y61" s="20">
        <f t="shared" si="6"/>
        <v>8364.8896799508511</v>
      </c>
      <c r="Z61" s="20">
        <f>(SUM(Y$3:Y61)/($B61-$B$3+1))</f>
        <v>6151.6629627143921</v>
      </c>
      <c r="AA61" s="21">
        <f>SUM(Y$3:Y61)/1000</f>
        <v>362.94811480014909</v>
      </c>
      <c r="AB61" s="20">
        <f t="shared" si="7"/>
        <v>3439.7748953796113</v>
      </c>
      <c r="AC61" s="20">
        <f>(SUM(AB$3:AB61)/($B61-$B$3+1))</f>
        <v>3385.8851399161435</v>
      </c>
      <c r="AD61" s="18">
        <f t="shared" si="27"/>
        <v>6.8992439121568561</v>
      </c>
      <c r="AE61" s="18">
        <f t="shared" si="27"/>
        <v>5.8214372169653057</v>
      </c>
      <c r="AF61" s="20">
        <f t="shared" si="9"/>
        <v>6360.340564561081</v>
      </c>
      <c r="AG61" s="20">
        <f>(SUM(AF$3:AF61)/($B61-$B$3+1))</f>
        <v>4677.4880456630517</v>
      </c>
      <c r="AH61" s="22">
        <f>SUM(AF$3:AF61)/1000</f>
        <v>275.97179469412009</v>
      </c>
      <c r="AI61" s="20">
        <v>2615.4726047947515</v>
      </c>
      <c r="AJ61" s="20">
        <f>(SUM(AI$3:AI61)/($B61-$B$3+1))</f>
        <v>2574.496906273574</v>
      </c>
      <c r="AK61" s="21">
        <f>SUM(AI$3:AI61)/1000</f>
        <v>151.89531747014087</v>
      </c>
      <c r="AL61" s="23">
        <f t="shared" si="21"/>
        <v>2.4097064200592464</v>
      </c>
      <c r="AM61" s="23">
        <f t="shared" si="22"/>
        <v>2.5709676926305365</v>
      </c>
      <c r="AN61" s="24">
        <f t="shared" si="10"/>
        <v>0.82888476489548724</v>
      </c>
      <c r="AO61" s="24">
        <f t="shared" si="11"/>
        <v>0.88435501259425631</v>
      </c>
      <c r="AP61" s="24">
        <f t="shared" si="25"/>
        <v>0.85661988874487172</v>
      </c>
      <c r="AQ61" s="24">
        <f>(SUM(AP$3:AP61)/($B61-$B$3+1))</f>
        <v>1.0702451650264742</v>
      </c>
      <c r="AR61" s="21">
        <f t="shared" si="28"/>
        <v>21.86479857445698</v>
      </c>
      <c r="AS61" s="21">
        <f t="shared" si="28"/>
        <v>19.68369759976909</v>
      </c>
      <c r="AT61" s="21">
        <f t="shared" si="26"/>
        <v>20.774248087113037</v>
      </c>
      <c r="AU61" s="21">
        <f>(SUM(AT$3:AT61)/($B61-$B$3+1))</f>
        <v>18.826540465012112</v>
      </c>
      <c r="AV61" s="22">
        <f>SUM(AT$3:AT61)/1000</f>
        <v>1.1107658874357147</v>
      </c>
    </row>
    <row r="62" spans="1:48" ht="15.6">
      <c r="A62" s="17" t="s">
        <v>63</v>
      </c>
      <c r="B62" s="17">
        <v>119</v>
      </c>
      <c r="C62" s="18">
        <f t="shared" si="0"/>
        <v>75.7471213206681</v>
      </c>
      <c r="D62" s="18">
        <f t="shared" si="1"/>
        <v>71.639993601298841</v>
      </c>
      <c r="E62" s="18">
        <f t="shared" si="13"/>
        <v>73.69355746098347</v>
      </c>
      <c r="F62" s="19">
        <f t="shared" si="23"/>
        <v>1.0394699875989062</v>
      </c>
      <c r="G62" s="19">
        <f t="shared" si="23"/>
        <v>0.94737229295834879</v>
      </c>
      <c r="H62" s="19">
        <f t="shared" si="14"/>
        <v>0.99342114027862749</v>
      </c>
      <c r="I62" s="19">
        <f>(SUM(H$3:H62)/($B62-$B$3+1))</f>
        <v>0.8808241835791869</v>
      </c>
      <c r="J62" s="19"/>
      <c r="K62" s="19">
        <f t="shared" si="15"/>
        <v>2.6534122173361396</v>
      </c>
      <c r="L62" s="19">
        <f t="shared" si="16"/>
        <v>2.2389446451271477</v>
      </c>
      <c r="M62" s="19">
        <f t="shared" si="17"/>
        <v>2.4461784312316439</v>
      </c>
      <c r="N62" s="19">
        <f>(SUM(M$3:M62)/($B62-$B$3+1))</f>
        <v>1.8237328935663204</v>
      </c>
      <c r="O62" s="19">
        <f t="shared" si="29"/>
        <v>2.5526588059221536</v>
      </c>
      <c r="P62" s="19">
        <f t="shared" si="30"/>
        <v>2.3633207998258219</v>
      </c>
      <c r="Q62" s="19">
        <f t="shared" si="18"/>
        <v>2.4579898028739877</v>
      </c>
      <c r="R62" s="19">
        <f>(SUM(Q$3:Q62)/($B62-$B$3+1))</f>
        <v>2.0409661894814914</v>
      </c>
      <c r="S62" s="19">
        <f t="shared" si="31"/>
        <v>8.861506622852243</v>
      </c>
      <c r="T62" s="19">
        <f t="shared" si="32"/>
        <v>8.0502498651112031</v>
      </c>
      <c r="U62" s="19">
        <f t="shared" si="24"/>
        <v>8.4558782439817222</v>
      </c>
      <c r="V62" s="19">
        <f>(SUM(U$3:U62)/($B62-$B$3+1))</f>
        <v>6.9177247353892435</v>
      </c>
      <c r="W62" s="18">
        <f t="shared" si="19"/>
        <v>9.2112701793638454</v>
      </c>
      <c r="X62" s="18">
        <f t="shared" si="20"/>
        <v>7.6265836735980379</v>
      </c>
      <c r="Y62" s="20">
        <f t="shared" si="6"/>
        <v>8418.9269264809427</v>
      </c>
      <c r="Z62" s="20">
        <f>(SUM(Y$3:Y62)/($B62-$B$3+1))</f>
        <v>6189.4506954438348</v>
      </c>
      <c r="AA62" s="21">
        <f>SUM(Y$3:Y62)/1000</f>
        <v>371.36704172663008</v>
      </c>
      <c r="AB62" s="20">
        <f t="shared" si="7"/>
        <v>3441.6650964590663</v>
      </c>
      <c r="AC62" s="20">
        <f>(SUM(AB$3:AB62)/($B62-$B$3+1))</f>
        <v>3386.8148058585257</v>
      </c>
      <c r="AD62" s="18">
        <f t="shared" si="27"/>
        <v>6.9437405438717059</v>
      </c>
      <c r="AE62" s="18">
        <f t="shared" si="27"/>
        <v>5.8591162753677573</v>
      </c>
      <c r="AF62" s="20">
        <f t="shared" si="9"/>
        <v>6401.4284096197307</v>
      </c>
      <c r="AG62" s="20">
        <f>(SUM(AF$3:AF62)/($B62-$B$3+1))</f>
        <v>4706.22038506233</v>
      </c>
      <c r="AH62" s="22">
        <f>SUM(AF$3:AF62)/1000</f>
        <v>282.3732231037398</v>
      </c>
      <c r="AI62" s="20">
        <v>2616.9098410358524</v>
      </c>
      <c r="AJ62" s="20">
        <f>(SUM(AI$3:AI62)/($B62-$B$3+1))</f>
        <v>2575.2037885196119</v>
      </c>
      <c r="AK62" s="21">
        <f>SUM(AI$3:AI62)/1000</f>
        <v>154.5122273111767</v>
      </c>
      <c r="AL62" s="23">
        <f t="shared" si="21"/>
        <v>2.3908209617445988</v>
      </c>
      <c r="AM62" s="23">
        <f t="shared" si="22"/>
        <v>2.5522996694000151</v>
      </c>
      <c r="AN62" s="24">
        <f t="shared" si="10"/>
        <v>0.82284050559190813</v>
      </c>
      <c r="AO62" s="24">
        <f t="shared" si="11"/>
        <v>0.87841606878780465</v>
      </c>
      <c r="AP62" s="24">
        <f t="shared" si="25"/>
        <v>0.85062828718985639</v>
      </c>
      <c r="AQ62" s="24">
        <f>(SUM(AP$3:AP62)/($B62-$B$3+1))</f>
        <v>1.0665848837291974</v>
      </c>
      <c r="AR62" s="21">
        <f t="shared" si="28"/>
        <v>21.833350504566152</v>
      </c>
      <c r="AS62" s="21">
        <f t="shared" si="28"/>
        <v>19.667249534060954</v>
      </c>
      <c r="AT62" s="21">
        <f t="shared" si="26"/>
        <v>20.750300019313553</v>
      </c>
      <c r="AU62" s="21">
        <f>(SUM(AT$3:AT62)/($B62-$B$3+1))</f>
        <v>18.858603124250468</v>
      </c>
      <c r="AV62" s="22">
        <f>SUM(AT$3:AT62)/1000</f>
        <v>1.1315161874550281</v>
      </c>
    </row>
    <row r="63" spans="1:48" ht="15.6">
      <c r="A63" s="17" t="s">
        <v>63</v>
      </c>
      <c r="B63" s="17">
        <v>120</v>
      </c>
      <c r="C63" s="18">
        <f t="shared" si="0"/>
        <v>76.786591308267006</v>
      </c>
      <c r="D63" s="18">
        <f t="shared" si="1"/>
        <v>72.587365894257189</v>
      </c>
      <c r="E63" s="18">
        <f t="shared" si="13"/>
        <v>74.686978601262098</v>
      </c>
      <c r="F63" s="19">
        <f t="shared" si="23"/>
        <v>1.0403399426372033</v>
      </c>
      <c r="G63" s="19">
        <f t="shared" si="23"/>
        <v>0.94834945307097485</v>
      </c>
      <c r="H63" s="19">
        <f t="shared" si="14"/>
        <v>0.99434469785408908</v>
      </c>
      <c r="I63" s="19">
        <f>(SUM(H$3:H63)/($B63-$B$3+1))</f>
        <v>0.88268517561648041</v>
      </c>
      <c r="J63" s="19"/>
      <c r="K63" s="19">
        <f t="shared" si="15"/>
        <v>2.6684965501608757</v>
      </c>
      <c r="L63" s="19">
        <f t="shared" si="16"/>
        <v>2.251925022720846</v>
      </c>
      <c r="M63" s="19">
        <f t="shared" si="17"/>
        <v>2.4602107864408609</v>
      </c>
      <c r="N63" s="19">
        <f>(SUM(M$3:M63)/($B63-$B$3+1))</f>
        <v>1.8341669573839359</v>
      </c>
      <c r="O63" s="19">
        <f t="shared" si="29"/>
        <v>2.5650236435182783</v>
      </c>
      <c r="P63" s="19">
        <f t="shared" si="30"/>
        <v>2.3745730178138365</v>
      </c>
      <c r="Q63" s="19">
        <f t="shared" si="18"/>
        <v>2.4697983306660571</v>
      </c>
      <c r="R63" s="19">
        <f>(SUM(Q$3:Q63)/($B63-$B$3+1))</f>
        <v>2.0479962245828776</v>
      </c>
      <c r="S63" s="19">
        <f t="shared" si="31"/>
        <v>8.9100162298547847</v>
      </c>
      <c r="T63" s="19">
        <f t="shared" si="32"/>
        <v>8.0922027994871275</v>
      </c>
      <c r="U63" s="19">
        <f t="shared" si="24"/>
        <v>8.5011095146709561</v>
      </c>
      <c r="V63" s="19">
        <f>(SUM(U$3:U63)/($B63-$B$3+1))</f>
        <v>6.9436818629184511</v>
      </c>
      <c r="W63" s="18">
        <f t="shared" si="19"/>
        <v>9.2694457734636764</v>
      </c>
      <c r="X63" s="18">
        <f t="shared" si="20"/>
        <v>7.6742360990330294</v>
      </c>
      <c r="Y63" s="20">
        <f t="shared" si="6"/>
        <v>8471.8409362483526</v>
      </c>
      <c r="Z63" s="20">
        <f>(SUM(Y$3:Y63)/($B63-$B$3+1))</f>
        <v>6226.8669288996462</v>
      </c>
      <c r="AA63" s="21">
        <f>SUM(Y$3:Y63)/1000</f>
        <v>379.8388826628784</v>
      </c>
      <c r="AB63" s="20">
        <f t="shared" si="7"/>
        <v>3443.5427171280717</v>
      </c>
      <c r="AC63" s="20">
        <f>(SUM(AB$3:AB63)/($B63-$B$3+1))</f>
        <v>3387.7447716170423</v>
      </c>
      <c r="AD63" s="18">
        <f t="shared" si="27"/>
        <v>6.9870246169052832</v>
      </c>
      <c r="AE63" s="18">
        <f t="shared" si="27"/>
        <v>5.8962997603376968</v>
      </c>
      <c r="AF63" s="20">
        <f t="shared" si="9"/>
        <v>6441.6621886214898</v>
      </c>
      <c r="AG63" s="20">
        <f>(SUM(AF$3:AF63)/($B63-$B$3+1))</f>
        <v>4734.6702506944466</v>
      </c>
      <c r="AH63" s="22">
        <f>SUM(AF$3:AF63)/1000</f>
        <v>288.81488529236128</v>
      </c>
      <c r="AI63" s="20">
        <v>2618.3375116164407</v>
      </c>
      <c r="AJ63" s="20">
        <f>(SUM(AI$3:AI63)/($B63-$B$3+1))</f>
        <v>2575.9108987343138</v>
      </c>
      <c r="AK63" s="21">
        <f>SUM(AI$3:AI63)/1000</f>
        <v>157.13056482279316</v>
      </c>
      <c r="AL63" s="23">
        <f t="shared" si="21"/>
        <v>2.3722320512045041</v>
      </c>
      <c r="AM63" s="23">
        <f t="shared" si="22"/>
        <v>2.5339590078789573</v>
      </c>
      <c r="AN63" s="24">
        <f t="shared" si="10"/>
        <v>0.81688824032630569</v>
      </c>
      <c r="AO63" s="24">
        <f t="shared" si="11"/>
        <v>0.87257960870826567</v>
      </c>
      <c r="AP63" s="24">
        <f t="shared" si="25"/>
        <v>0.84473392451728568</v>
      </c>
      <c r="AQ63" s="24">
        <f>(SUM(AP$3:AP63)/($B63-$B$3+1))</f>
        <v>1.0629479827585102</v>
      </c>
      <c r="AR63" s="21">
        <f t="shared" si="28"/>
        <v>21.798634511777351</v>
      </c>
      <c r="AS63" s="21">
        <f t="shared" si="28"/>
        <v>19.64983855166108</v>
      </c>
      <c r="AT63" s="21">
        <f t="shared" si="26"/>
        <v>20.724236531719214</v>
      </c>
      <c r="AU63" s="21">
        <f>(SUM(AT$3:AT63)/($B63-$B$3+1))</f>
        <v>18.889187278471269</v>
      </c>
      <c r="AV63" s="22">
        <f>SUM(AT$3:AT63)/1000</f>
        <v>1.1522404239867474</v>
      </c>
    </row>
    <row r="64" spans="1:48" ht="15.6">
      <c r="A64" s="17" t="s">
        <v>63</v>
      </c>
      <c r="B64" s="17">
        <v>121</v>
      </c>
      <c r="C64" s="18">
        <f t="shared" si="0"/>
        <v>77.826931250904209</v>
      </c>
      <c r="D64" s="18">
        <f t="shared" si="1"/>
        <v>73.535715347328164</v>
      </c>
      <c r="E64" s="18">
        <f t="shared" si="13"/>
        <v>75.681323299116187</v>
      </c>
      <c r="F64" s="19">
        <f t="shared" si="23"/>
        <v>1.041070235292608</v>
      </c>
      <c r="G64" s="19">
        <f t="shared" si="23"/>
        <v>0.94921948470977213</v>
      </c>
      <c r="H64" s="19">
        <f t="shared" si="14"/>
        <v>0.99514486000119007</v>
      </c>
      <c r="I64" s="19">
        <f>(SUM(H$3:H64)/($B64-$B$3+1))</f>
        <v>0.88449904149365322</v>
      </c>
      <c r="J64" s="19"/>
      <c r="K64" s="19">
        <f t="shared" si="15"/>
        <v>2.6831189634757475</v>
      </c>
      <c r="L64" s="19">
        <f t="shared" si="16"/>
        <v>2.2647116506796459</v>
      </c>
      <c r="M64" s="19">
        <f t="shared" si="17"/>
        <v>2.4739153070776965</v>
      </c>
      <c r="N64" s="19">
        <f>(SUM(M$3:M64)/($B64-$B$3+1))</f>
        <v>1.8444854791531902</v>
      </c>
      <c r="O64" s="19">
        <f t="shared" si="29"/>
        <v>2.5772698829696323</v>
      </c>
      <c r="P64" s="19">
        <f t="shared" si="30"/>
        <v>2.3858672173929203</v>
      </c>
      <c r="Q64" s="19">
        <f t="shared" si="18"/>
        <v>2.4815685501812763</v>
      </c>
      <c r="R64" s="19">
        <f>(SUM(Q$3:Q64)/($B64-$B$3+1))</f>
        <v>2.0549893266086583</v>
      </c>
      <c r="S64" s="19">
        <f t="shared" si="31"/>
        <v>8.9581492484319796</v>
      </c>
      <c r="T64" s="19">
        <f t="shared" si="32"/>
        <v>8.1342911468423988</v>
      </c>
      <c r="U64" s="19">
        <f t="shared" si="24"/>
        <v>8.5462201976371901</v>
      </c>
      <c r="V64" s="19">
        <f>(SUM(U$3:U64)/($B64-$B$3+1))</f>
        <v>6.9695292554139145</v>
      </c>
      <c r="W64" s="18">
        <f t="shared" si="19"/>
        <v>9.3260625458513804</v>
      </c>
      <c r="X64" s="18">
        <f t="shared" si="20"/>
        <v>7.7212276508850026</v>
      </c>
      <c r="Y64" s="20">
        <f t="shared" si="6"/>
        <v>8523.6450983681916</v>
      </c>
      <c r="Z64" s="20">
        <f>(SUM(Y$3:Y64)/($B64-$B$3+1))</f>
        <v>6263.9117380846228</v>
      </c>
      <c r="AA64" s="21">
        <f>SUM(Y$3:Y64)/1000</f>
        <v>388.36252776124661</v>
      </c>
      <c r="AB64" s="20">
        <f t="shared" si="7"/>
        <v>3445.406992706115</v>
      </c>
      <c r="AC64" s="20">
        <f>(SUM(AB$3:AB64)/($B64-$B$3+1))</f>
        <v>3388.6748074410598</v>
      </c>
      <c r="AD64" s="18">
        <f t="shared" si="27"/>
        <v>7.0291144143455293</v>
      </c>
      <c r="AE64" s="18">
        <f t="shared" si="27"/>
        <v>5.9329897499240891</v>
      </c>
      <c r="AF64" s="20">
        <f t="shared" si="9"/>
        <v>6481.0520821348091</v>
      </c>
      <c r="AG64" s="20">
        <f>(SUM(AF$3:AF64)/($B64-$B$3+1))</f>
        <v>4762.8376995886465</v>
      </c>
      <c r="AH64" s="22">
        <f>SUM(AF$3:AF64)/1000</f>
        <v>295.29593737449608</v>
      </c>
      <c r="AI64" s="20">
        <v>2619.7550351028499</v>
      </c>
      <c r="AJ64" s="20">
        <f>(SUM(AI$3:AI64)/($B64-$B$3+1))</f>
        <v>2576.6180622241291</v>
      </c>
      <c r="AK64" s="21">
        <f>SUM(AI$3:AI64)/1000</f>
        <v>159.75031985789602</v>
      </c>
      <c r="AL64" s="23">
        <f t="shared" si="21"/>
        <v>2.3539430752720154</v>
      </c>
      <c r="AM64" s="23">
        <f t="shared" si="22"/>
        <v>2.5159489483939401</v>
      </c>
      <c r="AN64" s="24">
        <f t="shared" si="10"/>
        <v>0.81102919319743383</v>
      </c>
      <c r="AO64" s="24">
        <f t="shared" si="11"/>
        <v>0.8668468100088077</v>
      </c>
      <c r="AP64" s="24">
        <f t="shared" si="25"/>
        <v>0.83893800160312071</v>
      </c>
      <c r="AQ64" s="24">
        <f>(SUM(AP$3:AP64)/($B64-$B$3+1))</f>
        <v>1.0593349185463266</v>
      </c>
      <c r="AR64" s="21">
        <f t="shared" si="28"/>
        <v>21.760878082004702</v>
      </c>
      <c r="AS64" s="21">
        <f t="shared" si="28"/>
        <v>19.631580699814322</v>
      </c>
      <c r="AT64" s="21">
        <f t="shared" si="26"/>
        <v>20.696229390909512</v>
      </c>
      <c r="AU64" s="21">
        <f>(SUM(AT$3:AT64)/($B64-$B$3+1))</f>
        <v>18.918333118994468</v>
      </c>
      <c r="AV64" s="22">
        <f>SUM(AT$3:AT64)/1000</f>
        <v>1.1729366533776571</v>
      </c>
    </row>
    <row r="65" spans="1:48" ht="15.6">
      <c r="A65" s="17" t="s">
        <v>63</v>
      </c>
      <c r="B65" s="17">
        <v>122</v>
      </c>
      <c r="C65" s="18">
        <f t="shared" si="0"/>
        <v>78.868001486196817</v>
      </c>
      <c r="D65" s="18">
        <f t="shared" si="1"/>
        <v>74.484934832037936</v>
      </c>
      <c r="E65" s="18">
        <f t="shared" si="13"/>
        <v>76.676468159117377</v>
      </c>
      <c r="F65" s="19">
        <f t="shared" si="23"/>
        <v>1.0416627803602267</v>
      </c>
      <c r="G65" s="19">
        <f t="shared" si="23"/>
        <v>0.94998377424361991</v>
      </c>
      <c r="H65" s="19">
        <f t="shared" si="14"/>
        <v>0.99582327730192333</v>
      </c>
      <c r="I65" s="19">
        <f>(SUM(H$3:H65)/($B65-$B$3+1))</f>
        <v>0.88626609285568925</v>
      </c>
      <c r="J65" s="19"/>
      <c r="K65" s="19">
        <f t="shared" si="15"/>
        <v>2.697288189132705</v>
      </c>
      <c r="L65" s="19">
        <f t="shared" si="16"/>
        <v>2.2773063312872468</v>
      </c>
      <c r="M65" s="19">
        <f t="shared" si="17"/>
        <v>2.4872972602099761</v>
      </c>
      <c r="N65" s="19">
        <f>(SUM(M$3:M65)/($B65-$B$3+1))</f>
        <v>1.8546888407572659</v>
      </c>
      <c r="O65" s="19">
        <f t="shared" si="29"/>
        <v>2.5894063222648041</v>
      </c>
      <c r="P65" s="19">
        <f t="shared" si="30"/>
        <v>2.397205502904979</v>
      </c>
      <c r="Q65" s="19">
        <f t="shared" si="18"/>
        <v>2.4933059125848915</v>
      </c>
      <c r="R65" s="19">
        <f>(SUM(Q$3:Q65)/($B65-$B$3+1))</f>
        <v>2.0619467327352652</v>
      </c>
      <c r="S65" s="19">
        <f t="shared" si="31"/>
        <v>9.0059313637609666</v>
      </c>
      <c r="T65" s="19">
        <f t="shared" si="32"/>
        <v>8.1765219957987405</v>
      </c>
      <c r="U65" s="19">
        <f t="shared" si="24"/>
        <v>8.5912266797798544</v>
      </c>
      <c r="V65" s="19">
        <f>(SUM(U$3:U65)/($B65-$B$3+1))</f>
        <v>6.9952704843721047</v>
      </c>
      <c r="W65" s="18">
        <f t="shared" si="19"/>
        <v>9.3811435041086177</v>
      </c>
      <c r="X65" s="18">
        <f t="shared" si="20"/>
        <v>7.7675632257548637</v>
      </c>
      <c r="Y65" s="20">
        <f t="shared" si="6"/>
        <v>8574.3533649317396</v>
      </c>
      <c r="Z65" s="20">
        <f>(SUM(Y$3:Y65)/($B65-$B$3+1))</f>
        <v>6300.5854147012433</v>
      </c>
      <c r="AA65" s="21">
        <f>SUM(Y$3:Y65)/1000</f>
        <v>396.93688112617832</v>
      </c>
      <c r="AB65" s="20">
        <f t="shared" si="7"/>
        <v>3447.2571904042939</v>
      </c>
      <c r="AC65" s="20">
        <f>(SUM(AB$3:AB65)/($B65-$B$3+1))</f>
        <v>3389.6046865357143</v>
      </c>
      <c r="AD65" s="18">
        <f t="shared" si="27"/>
        <v>7.0700289114370696</v>
      </c>
      <c r="AE65" s="18">
        <f t="shared" si="27"/>
        <v>5.9691884861500721</v>
      </c>
      <c r="AF65" s="20">
        <f t="shared" si="9"/>
        <v>6519.6086987935705</v>
      </c>
      <c r="AG65" s="20">
        <f>(SUM(AF$3:AF65)/($B65-$B$3+1))</f>
        <v>4790.7229535442802</v>
      </c>
      <c r="AH65" s="22">
        <f>SUM(AF$3:AF65)/1000</f>
        <v>301.81554607328962</v>
      </c>
      <c r="AI65" s="20">
        <v>2621.161854310566</v>
      </c>
      <c r="AJ65" s="20">
        <f>(SUM(AI$3:AI65)/($B65-$B$3+1))</f>
        <v>2577.3251065429617</v>
      </c>
      <c r="AK65" s="21">
        <f>SUM(AI$3:AI65)/1000</f>
        <v>162.37148171220659</v>
      </c>
      <c r="AL65" s="23">
        <f t="shared" si="21"/>
        <v>2.3359572173902348</v>
      </c>
      <c r="AM65" s="23">
        <f t="shared" si="22"/>
        <v>2.4982725470935603</v>
      </c>
      <c r="AN65" s="24">
        <f t="shared" si="10"/>
        <v>0.80526453141252929</v>
      </c>
      <c r="AO65" s="24">
        <f t="shared" si="11"/>
        <v>0.86121880015579255</v>
      </c>
      <c r="AP65" s="24">
        <f t="shared" si="25"/>
        <v>0.83324166578416092</v>
      </c>
      <c r="AQ65" s="24">
        <f>(SUM(AP$3:AP65)/($B65-$B$3+1))</f>
        <v>1.0557461367564509</v>
      </c>
      <c r="AR65" s="21">
        <f t="shared" si="28"/>
        <v>21.720305097064973</v>
      </c>
      <c r="AS65" s="21">
        <f t="shared" si="28"/>
        <v>19.612590262183925</v>
      </c>
      <c r="AT65" s="21">
        <f t="shared" si="26"/>
        <v>20.666447679624447</v>
      </c>
      <c r="AU65" s="21">
        <f>(SUM(AT$3:AT65)/($B65-$B$3+1))</f>
        <v>18.946080969163198</v>
      </c>
      <c r="AV65" s="22">
        <f>SUM(AT$3:AT65)/1000</f>
        <v>1.1936031010572814</v>
      </c>
    </row>
    <row r="66" spans="1:48" ht="15.6">
      <c r="A66" s="17" t="s">
        <v>63</v>
      </c>
      <c r="B66" s="17">
        <v>123</v>
      </c>
      <c r="C66" s="18">
        <f t="shared" si="0"/>
        <v>79.909664266557044</v>
      </c>
      <c r="D66" s="18">
        <f t="shared" si="1"/>
        <v>75.434918606281556</v>
      </c>
      <c r="E66" s="18">
        <f t="shared" si="13"/>
        <v>77.6722914364193</v>
      </c>
      <c r="F66" s="19">
        <f t="shared" si="23"/>
        <v>1.0421195163683876</v>
      </c>
      <c r="G66" s="19">
        <f t="shared" si="23"/>
        <v>0.9506437190837147</v>
      </c>
      <c r="H66" s="19">
        <f t="shared" si="14"/>
        <v>0.99638161772605116</v>
      </c>
      <c r="I66" s="19">
        <f>(SUM(H$3:H66)/($B66-$B$3+1))</f>
        <v>0.88798664793178861</v>
      </c>
      <c r="J66" s="19"/>
      <c r="K66" s="19">
        <f t="shared" si="15"/>
        <v>2.7110131523365419</v>
      </c>
      <c r="L66" s="19">
        <f t="shared" si="16"/>
        <v>2.2897109080116418</v>
      </c>
      <c r="M66" s="19">
        <f t="shared" si="17"/>
        <v>2.5003620301740916</v>
      </c>
      <c r="N66" s="19">
        <f>(SUM(M$3:M66)/($B66-$B$3+1))</f>
        <v>1.8647774843419038</v>
      </c>
      <c r="O66" s="19">
        <f t="shared" si="29"/>
        <v>2.6014416866349168</v>
      </c>
      <c r="P66" s="19">
        <f t="shared" si="30"/>
        <v>2.4085899502061587</v>
      </c>
      <c r="Q66" s="19">
        <f t="shared" si="18"/>
        <v>2.5050158184205378</v>
      </c>
      <c r="R66" s="19">
        <f>(SUM(Q$3:Q66)/($B66-$B$3+1))</f>
        <v>2.0688696871990975</v>
      </c>
      <c r="S66" s="19">
        <f t="shared" si="31"/>
        <v>9.0533881682711428</v>
      </c>
      <c r="T66" s="19">
        <f t="shared" si="32"/>
        <v>8.2189023548140554</v>
      </c>
      <c r="U66" s="19">
        <f t="shared" si="24"/>
        <v>8.6361452615425982</v>
      </c>
      <c r="V66" s="19">
        <f>(SUM(U$3:U66)/($B66-$B$3+1))</f>
        <v>7.0209091527653937</v>
      </c>
      <c r="W66" s="18">
        <f t="shared" si="19"/>
        <v>9.4347124994140064</v>
      </c>
      <c r="X66" s="18">
        <f t="shared" si="20"/>
        <v>7.8132479013663341</v>
      </c>
      <c r="Y66" s="20">
        <f t="shared" si="6"/>
        <v>8623.9802003901696</v>
      </c>
      <c r="Z66" s="20">
        <f>(SUM(Y$3:Y66)/($B66-$B$3+1))</f>
        <v>6336.8884582276323</v>
      </c>
      <c r="AA66" s="21">
        <f>SUM(Y$3:Y66)/1000</f>
        <v>405.56086132656844</v>
      </c>
      <c r="AB66" s="20">
        <f t="shared" si="7"/>
        <v>3449.0926099168573</v>
      </c>
      <c r="AC66" s="20">
        <f>(SUM(AB$3:AB66)/($B66-$B$3+1))</f>
        <v>3390.5341853385444</v>
      </c>
      <c r="AD66" s="18">
        <f t="shared" si="27"/>
        <v>7.1097877037981485</v>
      </c>
      <c r="AE66" s="18">
        <f t="shared" si="27"/>
        <v>6.0048983698227243</v>
      </c>
      <c r="AF66" s="20">
        <f t="shared" si="9"/>
        <v>6557.3430368104364</v>
      </c>
      <c r="AG66" s="20">
        <f>(SUM(AF$3:AF66)/($B66-$B$3+1))</f>
        <v>4818.3263923453142</v>
      </c>
      <c r="AH66" s="22">
        <f>SUM(AF$3:AF66)/1000</f>
        <v>308.37288911010012</v>
      </c>
      <c r="AI66" s="20">
        <v>2622.5574367540171</v>
      </c>
      <c r="AJ66" s="20">
        <f>(SUM(AI$3:AI66)/($B66-$B$3+1))</f>
        <v>2578.0318617025096</v>
      </c>
      <c r="AK66" s="21">
        <f>SUM(AI$3:AI66)/1000</f>
        <v>164.99403914896061</v>
      </c>
      <c r="AL66" s="23">
        <f t="shared" si="21"/>
        <v>2.3182774597206119</v>
      </c>
      <c r="AM66" s="23">
        <f t="shared" si="22"/>
        <v>2.480932677879756</v>
      </c>
      <c r="AN66" s="24">
        <f t="shared" si="10"/>
        <v>0.79959536540591869</v>
      </c>
      <c r="AO66" s="24">
        <f t="shared" si="11"/>
        <v>0.85569665649763049</v>
      </c>
      <c r="AP66" s="24">
        <f t="shared" si="25"/>
        <v>0.82764601095177459</v>
      </c>
      <c r="AQ66" s="24">
        <f>(SUM(AP$3:AP66)/($B66-$B$3+1))</f>
        <v>1.0521820722907529</v>
      </c>
      <c r="AR66" s="21">
        <f t="shared" si="28"/>
        <v>21.677135521627889</v>
      </c>
      <c r="AS66" s="21">
        <f t="shared" si="28"/>
        <v>19.592979683317154</v>
      </c>
      <c r="AT66" s="21">
        <f t="shared" si="26"/>
        <v>20.635057602472521</v>
      </c>
      <c r="AU66" s="21">
        <f>(SUM(AT$3:AT66)/($B66-$B$3+1))</f>
        <v>18.972471229058655</v>
      </c>
      <c r="AV66" s="22">
        <f>SUM(AT$3:AT66)/1000</f>
        <v>1.2142381586597539</v>
      </c>
    </row>
    <row r="67" spans="1:48" ht="15.6">
      <c r="A67" s="17" t="s">
        <v>63</v>
      </c>
      <c r="B67" s="17">
        <v>124</v>
      </c>
      <c r="C67" s="18">
        <f t="shared" ref="C67:C130" si="33">(1.599 + ((301.48 - 1.599)*(($B67/195.9)^2.2191)))/(1 + (($B67 / 195.9)^2.2191))</f>
        <v>80.951783782925432</v>
      </c>
      <c r="D67" s="18">
        <f t="shared" ref="D67:D130" si="34">(1.554 + ((312.3 - 1.554)*(($B67/214.74)^2.0789)))/( 1 + ($B67 / 214.74)^2.0789)</f>
        <v>76.385562325365271</v>
      </c>
      <c r="E67" s="18">
        <f t="shared" si="13"/>
        <v>78.668673054145358</v>
      </c>
      <c r="F67" s="19">
        <f t="shared" si="23"/>
        <v>1.0424424037123856</v>
      </c>
      <c r="G67" s="19">
        <f t="shared" si="23"/>
        <v>0.95120072670326294</v>
      </c>
      <c r="H67" s="19">
        <f t="shared" si="14"/>
        <v>0.99682156520782428</v>
      </c>
      <c r="I67" s="19">
        <f>(SUM(H$3:H67)/($B67-$B$3+1))</f>
        <v>0.88966103127449681</v>
      </c>
      <c r="J67" s="19"/>
      <c r="K67" s="19">
        <f t="shared" si="15"/>
        <v>2.7243029430882753</v>
      </c>
      <c r="L67" s="19">
        <f t="shared" si="16"/>
        <v>2.3019272621999969</v>
      </c>
      <c r="M67" s="19">
        <f t="shared" si="17"/>
        <v>2.5131151026441358</v>
      </c>
      <c r="N67" s="19">
        <f>(SUM(M$3:M67)/($B67-$B$3+1))</f>
        <v>1.8747519092388611</v>
      </c>
      <c r="O67" s="19">
        <f t="shared" ref="O67:O98" si="35">K67/F67</f>
        <v>2.6133846180723115</v>
      </c>
      <c r="P67" s="19">
        <f t="shared" ref="P67:P98" si="36">L67/G67</f>
        <v>2.4200226067721533</v>
      </c>
      <c r="Q67" s="19">
        <f t="shared" si="18"/>
        <v>2.5167036124222326</v>
      </c>
      <c r="R67" s="19">
        <f>(SUM(Q$3:Q67)/($B67-$B$3+1))</f>
        <v>2.075759439894838</v>
      </c>
      <c r="S67" s="19">
        <f t="shared" ref="S67:S98" si="37">W67/F67</f>
        <v>9.1005451296196416</v>
      </c>
      <c r="T67" s="19">
        <f t="shared" ref="T67:T98" si="38">X67/G67</f>
        <v>8.2614391519610937</v>
      </c>
      <c r="U67" s="19">
        <f t="shared" si="24"/>
        <v>8.6809921407903676</v>
      </c>
      <c r="V67" s="19">
        <f>(SUM(U$3:U67)/($B67-$B$3+1))</f>
        <v>7.0464488910427008</v>
      </c>
      <c r="W67" s="18">
        <f t="shared" si="19"/>
        <v>9.4867941400137425</v>
      </c>
      <c r="X67" s="18">
        <f t="shared" si="20"/>
        <v>7.8582869249601801</v>
      </c>
      <c r="Y67" s="20">
        <f t="shared" ref="Y67:Y130" si="39">((W67 + X67) / 2)*1000</f>
        <v>8672.5405324869607</v>
      </c>
      <c r="Z67" s="20">
        <f>(SUM(Y$3:Y67)/($B67-$B$3+1))</f>
        <v>6372.8215670623913</v>
      </c>
      <c r="AA67" s="21">
        <f>SUM(Y$3:Y67)/1000</f>
        <v>414.23340185905545</v>
      </c>
      <c r="AB67" s="20">
        <f t="shared" ref="AB67:AB130" si="40">Y67/(AVERAGE(K67,L67))</f>
        <v>3450.9125838933041</v>
      </c>
      <c r="AC67" s="20">
        <f>(SUM(AB$3:AB67)/($B67-$B$3+1))</f>
        <v>3391.4630837778486</v>
      </c>
      <c r="AD67" s="18">
        <f t="shared" si="27"/>
        <v>7.1484109379883805</v>
      </c>
      <c r="AE67" s="18">
        <f t="shared" si="27"/>
        <v>6.0401219553470602</v>
      </c>
      <c r="AF67" s="20">
        <f t="shared" ref="AF67:AF130" si="41">((AD67 + AE67) / 2)*1000</f>
        <v>6594.2664466677206</v>
      </c>
      <c r="AG67" s="20">
        <f>(SUM(AF$3:AF67)/($B67-$B$3+1))</f>
        <v>4845.6485470271973</v>
      </c>
      <c r="AH67" s="22">
        <f>SUM(AF$3:AF67)/1000</f>
        <v>314.96715555676781</v>
      </c>
      <c r="AI67" s="20">
        <v>2623.9412750055349</v>
      </c>
      <c r="AJ67" s="20">
        <f>(SUM(AI$3:AI67)/($B67-$B$3+1))</f>
        <v>2578.7381603687099</v>
      </c>
      <c r="AK67" s="21">
        <f>SUM(AI$3:AI67)/1000</f>
        <v>167.61798042396617</v>
      </c>
      <c r="AL67" s="23">
        <f t="shared" si="21"/>
        <v>2.3009065853915178</v>
      </c>
      <c r="AM67" s="23">
        <f t="shared" si="22"/>
        <v>2.4639320344345386</v>
      </c>
      <c r="AN67" s="24">
        <f t="shared" ref="AN67:AN130" si="42">(AL67*((AB67)/1000)/10)</f>
        <v>0.79402274898905623</v>
      </c>
      <c r="AO67" s="24">
        <f t="shared" ref="AO67:AO130" si="43">(AM67*((AB67)/1000)/10)</f>
        <v>0.85028140634879779</v>
      </c>
      <c r="AP67" s="24">
        <f t="shared" si="25"/>
        <v>0.82215207766892706</v>
      </c>
      <c r="AQ67" s="24">
        <f>(SUM(AP$3:AP67)/($B67-$B$3+1))</f>
        <v>1.0486431492965711</v>
      </c>
      <c r="AR67" s="21">
        <f t="shared" si="28"/>
        <v>21.631585119499288</v>
      </c>
      <c r="AS67" s="21">
        <f t="shared" si="28"/>
        <v>19.572859498160511</v>
      </c>
      <c r="AT67" s="21">
        <f t="shared" si="26"/>
        <v>20.602222308829901</v>
      </c>
      <c r="AU67" s="21">
        <f>(SUM(AT$3:AT67)/($B67-$B$3+1))</f>
        <v>18.997544322593598</v>
      </c>
      <c r="AV67" s="22">
        <f>SUM(AT$3:AT67)/1000</f>
        <v>1.2348403809685837</v>
      </c>
    </row>
    <row r="68" spans="1:48" ht="15.6">
      <c r="A68" s="17" t="s">
        <v>63</v>
      </c>
      <c r="B68" s="17">
        <v>125</v>
      </c>
      <c r="C68" s="18">
        <f t="shared" si="33"/>
        <v>81.994226186637817</v>
      </c>
      <c r="D68" s="18">
        <f t="shared" si="34"/>
        <v>77.336763052068534</v>
      </c>
      <c r="E68" s="18">
        <f t="shared" ref="E68:E131" si="44">AVERAGE(C68:D68)</f>
        <v>79.665494619353183</v>
      </c>
      <c r="F68" s="19">
        <f t="shared" si="23"/>
        <v>1.0426334228219503</v>
      </c>
      <c r="G68" s="19">
        <f t="shared" si="23"/>
        <v>0.95165621367652875</v>
      </c>
      <c r="H68" s="19">
        <f t="shared" ref="H68:H131" si="45">AVERAGE(F68:G68)</f>
        <v>0.99714481824923951</v>
      </c>
      <c r="I68" s="19">
        <f>(SUM(H$3:H68)/($B68-$B$3+1))</f>
        <v>0.89128957350138693</v>
      </c>
      <c r="J68" s="19"/>
      <c r="K68" s="19">
        <f t="shared" ref="K68:K131" si="46" xml:space="preserve"> 3.0763 * (1-EXP(-(EXP(-5.0736)*(C68^1.3308))))</f>
        <v>2.737166788842567</v>
      </c>
      <c r="L68" s="19">
        <f t="shared" ref="L68:L131" si="47" xml:space="preserve"> 3.1408 * (1-EXP(-(EXP(-3.5347)*(D68^0.8793))))</f>
        <v>2.3139573098888238</v>
      </c>
      <c r="M68" s="19">
        <f t="shared" ref="M68:M131" si="48">AVERAGE(K68:L68)</f>
        <v>2.5255620493656954</v>
      </c>
      <c r="N68" s="19">
        <f>(SUM(M$3:M68)/($B68-$B$3+1))</f>
        <v>1.8846126689377525</v>
      </c>
      <c r="O68" s="19">
        <f t="shared" si="35"/>
        <v>2.6252436656349074</v>
      </c>
      <c r="P68" s="19">
        <f t="shared" si="36"/>
        <v>2.4315054918302104</v>
      </c>
      <c r="Q68" s="19">
        <f t="shared" ref="Q68:Q131" si="49">AVERAGE(O68:P68)</f>
        <v>2.5283745787325591</v>
      </c>
      <c r="R68" s="19">
        <f>(SUM(Q$3:Q68)/($B68-$B$3+1))</f>
        <v>2.0826172450287426</v>
      </c>
      <c r="S68" s="19">
        <f t="shared" si="37"/>
        <v>9.1474275606396453</v>
      </c>
      <c r="T68" s="19">
        <f t="shared" si="38"/>
        <v>8.3041392348058185</v>
      </c>
      <c r="U68" s="19">
        <f t="shared" si="24"/>
        <v>8.7257833977227328</v>
      </c>
      <c r="V68" s="19">
        <f>(SUM(U$3:U68)/($B68-$B$3+1))</f>
        <v>7.0718933532651258</v>
      </c>
      <c r="W68" s="18">
        <f t="shared" ref="W68:W131" si="50">(11.06 - 0.00049)*(1-EXP(-EXP(-5.044)*C68^(1.3 -0.0321* -0.00049)))</f>
        <v>9.5374137075655572</v>
      </c>
      <c r="X68" s="18">
        <f t="shared" ref="X68:X131" si="51">(11.12+0.02849)*(1-EXP(-EXP(-3.674-0.1996*0.02849)*D68^(0.8938+0.0283*0.02849)))</f>
        <v>7.9026857020380126</v>
      </c>
      <c r="Y68" s="20">
        <f t="shared" si="39"/>
        <v>8720.0497048017842</v>
      </c>
      <c r="Z68" s="20">
        <f>(SUM(Y$3:Y68)/($B68-$B$3+1))</f>
        <v>6408.3856297554121</v>
      </c>
      <c r="AA68" s="21">
        <f>SUM(Y$3:Y68)/1000</f>
        <v>422.95345156385719</v>
      </c>
      <c r="AB68" s="20">
        <f t="shared" si="40"/>
        <v>3452.7164782951413</v>
      </c>
      <c r="AC68" s="20">
        <f>(SUM(AB$3:AB68)/($B68-$B$3+1))</f>
        <v>3392.3911655129587</v>
      </c>
      <c r="AD68" s="18">
        <f t="shared" si="27"/>
        <v>7.1859192445254356</v>
      </c>
      <c r="AE68" s="18">
        <f t="shared" si="27"/>
        <v>6.0748619455417447</v>
      </c>
      <c r="AF68" s="20">
        <f t="shared" si="41"/>
        <v>6630.3905950335902</v>
      </c>
      <c r="AG68" s="20">
        <f>(SUM(AF$3:AF68)/($B68-$B$3+1))</f>
        <v>4872.6900932091121</v>
      </c>
      <c r="AH68" s="22">
        <f>SUM(AF$3:AF68)/1000</f>
        <v>321.5975461518014</v>
      </c>
      <c r="AI68" s="20">
        <v>2625.3128869666211</v>
      </c>
      <c r="AJ68" s="20">
        <f>(SUM(AI$3:AI68)/($B68-$B$3+1))</f>
        <v>2579.4438380444362</v>
      </c>
      <c r="AK68" s="21">
        <f>SUM(AI$3:AI68)/1000</f>
        <v>170.24329331093278</v>
      </c>
      <c r="AL68" s="23">
        <f t="shared" ref="AL68:AL131" si="52">((0.00003*(C68*2.204622)^2)-(0.0182*C68*2.204622)+4.5935)</f>
        <v>2.2838471808798957</v>
      </c>
      <c r="AM68" s="23">
        <f t="shared" ref="AM68:AM131" si="53">((0.00004*(D68*2.204622)^2)-(0.0215*D68*2.204622)+4.9502)</f>
        <v>2.4472731323373118</v>
      </c>
      <c r="AN68" s="24">
        <f t="shared" si="42"/>
        <v>0.78854767953319205</v>
      </c>
      <c r="AO68" s="24">
        <f t="shared" si="43"/>
        <v>0.84497402709100022</v>
      </c>
      <c r="AP68" s="24">
        <f t="shared" si="25"/>
        <v>0.81676085331209614</v>
      </c>
      <c r="AQ68" s="24">
        <f>(SUM(AP$3:AP68)/($B68-$B$3+1))</f>
        <v>1.045129781175594</v>
      </c>
      <c r="AR68" s="21">
        <f t="shared" si="28"/>
        <v>21.58386519837125</v>
      </c>
      <c r="AS68" s="21">
        <f t="shared" si="28"/>
        <v>19.552338266534171</v>
      </c>
      <c r="AT68" s="21">
        <f t="shared" si="26"/>
        <v>20.56810173245271</v>
      </c>
      <c r="AU68" s="21">
        <f>(SUM(AT$3:AT68)/($B68-$B$3+1))</f>
        <v>19.021340646985401</v>
      </c>
      <c r="AV68" s="22">
        <f>SUM(AT$3:AT68)/1000</f>
        <v>1.2554084827010366</v>
      </c>
    </row>
    <row r="69" spans="1:48" ht="15.6">
      <c r="A69" s="17" t="s">
        <v>63</v>
      </c>
      <c r="B69" s="17">
        <v>126</v>
      </c>
      <c r="C69" s="18">
        <f t="shared" si="33"/>
        <v>83.036859609459768</v>
      </c>
      <c r="D69" s="18">
        <f t="shared" si="34"/>
        <v>78.288419265745063</v>
      </c>
      <c r="E69" s="18">
        <f t="shared" si="44"/>
        <v>80.662639437602422</v>
      </c>
      <c r="F69" s="19">
        <f t="shared" ref="F69:G132" si="54">C70-C69</f>
        <v>1.0426945723629615</v>
      </c>
      <c r="G69" s="19">
        <f t="shared" si="54"/>
        <v>0.95201160473691004</v>
      </c>
      <c r="H69" s="19">
        <f t="shared" si="45"/>
        <v>0.99735308854993576</v>
      </c>
      <c r="I69" s="19">
        <f>(SUM(H$3:H69)/($B69-$B$3+1))</f>
        <v>0.89287261103942495</v>
      </c>
      <c r="J69" s="19"/>
      <c r="K69" s="19">
        <f t="shared" si="46"/>
        <v>2.7496140284017465</v>
      </c>
      <c r="L69" s="19">
        <f t="shared" si="47"/>
        <v>2.3258029987280864</v>
      </c>
      <c r="M69" s="19">
        <f t="shared" si="48"/>
        <v>2.5377085135649162</v>
      </c>
      <c r="N69" s="19">
        <f>(SUM(M$3:M69)/($B69-$B$3+1))</f>
        <v>1.8943603681112924</v>
      </c>
      <c r="O69" s="19">
        <f t="shared" si="35"/>
        <v>2.6370272765212084</v>
      </c>
      <c r="P69" s="19">
        <f t="shared" si="36"/>
        <v>2.4430405965175455</v>
      </c>
      <c r="Q69" s="19">
        <f t="shared" si="49"/>
        <v>2.5400339365193769</v>
      </c>
      <c r="R69" s="19">
        <f>(SUM(Q$3:Q69)/($B69-$B$3+1))</f>
        <v>2.0894443598271102</v>
      </c>
      <c r="S69" s="19">
        <f t="shared" si="37"/>
        <v>9.1940605912395235</v>
      </c>
      <c r="T69" s="19">
        <f t="shared" si="38"/>
        <v>8.3470093703849333</v>
      </c>
      <c r="U69" s="19">
        <f t="shared" ref="U69:U132" si="55">((S69 + T69) / 2)</f>
        <v>8.7705349808122293</v>
      </c>
      <c r="V69" s="19">
        <f>(SUM(U$3:U69)/($B69-$B$3+1))</f>
        <v>7.097246213377769</v>
      </c>
      <c r="W69" s="18">
        <f t="shared" si="50"/>
        <v>9.5865970764616524</v>
      </c>
      <c r="X69" s="18">
        <f t="shared" si="51"/>
        <v>7.9464497854541856</v>
      </c>
      <c r="Y69" s="20">
        <f t="shared" si="39"/>
        <v>8766.5234309579191</v>
      </c>
      <c r="Z69" s="20">
        <f>(SUM(Y$3:Y69)/($B69-$B$3+1))</f>
        <v>6443.5817163405245</v>
      </c>
      <c r="AA69" s="21">
        <f>SUM(Y$3:Y69)/1000</f>
        <v>431.71997499481512</v>
      </c>
      <c r="AB69" s="20">
        <f t="shared" si="40"/>
        <v>3454.5036926415569</v>
      </c>
      <c r="AC69" s="20">
        <f>(SUM(AB$3:AB69)/($B69-$B$3+1))</f>
        <v>3393.3182181566694</v>
      </c>
      <c r="AD69" s="18">
        <f t="shared" si="27"/>
        <v>7.2223336734316321</v>
      </c>
      <c r="AE69" s="18">
        <f t="shared" si="27"/>
        <v>6.1091211864546855</v>
      </c>
      <c r="AF69" s="20">
        <f t="shared" si="41"/>
        <v>6665.7274299431592</v>
      </c>
      <c r="AG69" s="20">
        <f>(SUM(AF$3:AF69)/($B69-$B$3+1))</f>
        <v>4899.4518445036501</v>
      </c>
      <c r="AH69" s="22">
        <f>SUM(AF$3:AF69)/1000</f>
        <v>328.26327358174456</v>
      </c>
      <c r="AI69" s="20">
        <v>2626.6718160547498</v>
      </c>
      <c r="AJ69" s="20">
        <f>(SUM(AI$3:AI69)/($B69-$B$3+1))</f>
        <v>2580.14873323862</v>
      </c>
      <c r="AK69" s="21">
        <f>SUM(AI$3:AI69)/1000</f>
        <v>172.86996512698755</v>
      </c>
      <c r="AL69" s="23">
        <f t="shared" si="52"/>
        <v>2.2671016385188634</v>
      </c>
      <c r="AM69" s="23">
        <f t="shared" si="53"/>
        <v>2.4309583112679825</v>
      </c>
      <c r="AN69" s="24">
        <f t="shared" si="42"/>
        <v>0.78317109818571384</v>
      </c>
      <c r="AO69" s="24">
        <f t="shared" si="43"/>
        <v>0.83977544629329282</v>
      </c>
      <c r="AP69" s="24">
        <f t="shared" ref="AP69:AP132" si="56">AVERAGE(AN69:AO69)</f>
        <v>0.81147327223950327</v>
      </c>
      <c r="AQ69" s="24">
        <f>(SUM(AP$3:AP69)/($B69-$B$3+1))</f>
        <v>1.0416423705944584</v>
      </c>
      <c r="AR69" s="21">
        <f t="shared" si="28"/>
        <v>21.534182382102404</v>
      </c>
      <c r="AS69" s="21">
        <f t="shared" si="28"/>
        <v>19.531522512471575</v>
      </c>
      <c r="AT69" s="21">
        <f t="shared" ref="AT69:AT132" si="57">AVERAGE(AR69:AS69)</f>
        <v>20.532852447286992</v>
      </c>
      <c r="AU69" s="21">
        <f>(SUM(AT$3:AT69)/($B69-$B$3+1))</f>
        <v>19.043900524601845</v>
      </c>
      <c r="AV69" s="22">
        <f>SUM(AT$3:AT69)/1000</f>
        <v>1.2759413351483235</v>
      </c>
    </row>
    <row r="70" spans="1:48" ht="15.6">
      <c r="A70" s="17" t="s">
        <v>63</v>
      </c>
      <c r="B70" s="17">
        <v>127</v>
      </c>
      <c r="C70" s="18">
        <f t="shared" si="33"/>
        <v>84.079554181822729</v>
      </c>
      <c r="D70" s="18">
        <f t="shared" si="34"/>
        <v>79.240430870481973</v>
      </c>
      <c r="E70" s="18">
        <f t="shared" si="44"/>
        <v>81.659992526152351</v>
      </c>
      <c r="F70" s="19">
        <f t="shared" si="54"/>
        <v>1.0426278674757015</v>
      </c>
      <c r="G70" s="19">
        <f t="shared" si="54"/>
        <v>0.95226833185481041</v>
      </c>
      <c r="H70" s="19">
        <f t="shared" si="45"/>
        <v>0.99744809966525594</v>
      </c>
      <c r="I70" s="19">
        <f>(SUM(H$3:H70)/($B70-$B$3+1))</f>
        <v>0.89441048587215777</v>
      </c>
      <c r="J70" s="19"/>
      <c r="K70" s="19">
        <f t="shared" si="46"/>
        <v>2.7616540870616197</v>
      </c>
      <c r="L70" s="19">
        <f t="shared" si="47"/>
        <v>2.3374663050177484</v>
      </c>
      <c r="M70" s="19">
        <f t="shared" si="48"/>
        <v>2.5495601960396841</v>
      </c>
      <c r="N70" s="19">
        <f>(SUM(M$3:M70)/($B70-$B$3+1))</f>
        <v>1.9039956596984746</v>
      </c>
      <c r="O70" s="19">
        <f t="shared" si="35"/>
        <v>2.6487437878941793</v>
      </c>
      <c r="P70" s="19">
        <f t="shared" si="36"/>
        <v>2.454629884063114</v>
      </c>
      <c r="Q70" s="19">
        <f t="shared" si="49"/>
        <v>2.5516868359786464</v>
      </c>
      <c r="R70" s="19">
        <f>(SUM(Q$3:Q70)/($B70-$B$3+1))</f>
        <v>2.0962420432999269</v>
      </c>
      <c r="S70" s="19">
        <f t="shared" si="37"/>
        <v>9.2404691422089318</v>
      </c>
      <c r="T70" s="19">
        <f t="shared" si="38"/>
        <v>8.3900562452725005</v>
      </c>
      <c r="U70" s="19">
        <f t="shared" si="55"/>
        <v>8.815262693740717</v>
      </c>
      <c r="V70" s="19">
        <f>(SUM(U$3:U70)/($B70-$B$3+1))</f>
        <v>7.1225111616183998</v>
      </c>
      <c r="W70" s="18">
        <f t="shared" si="50"/>
        <v>9.6343706362163228</v>
      </c>
      <c r="X70" s="18">
        <f t="shared" si="51"/>
        <v>7.9895848648536774</v>
      </c>
      <c r="Y70" s="20">
        <f t="shared" si="39"/>
        <v>8811.9777505349994</v>
      </c>
      <c r="Z70" s="20">
        <f>(SUM(Y$3:Y70)/($B70-$B$3+1))</f>
        <v>6478.4110697845608</v>
      </c>
      <c r="AA70" s="21">
        <f>SUM(Y$3:Y70)/1000</f>
        <v>440.53195274535011</v>
      </c>
      <c r="AB70" s="20">
        <f t="shared" si="40"/>
        <v>3456.2736601484971</v>
      </c>
      <c r="AC70" s="20">
        <f>(SUM(AB$3:AB70)/($B70-$B$3+1))</f>
        <v>3394.2440334800785</v>
      </c>
      <c r="AD70" s="18">
        <f t="shared" si="27"/>
        <v>7.2576756323748111</v>
      </c>
      <c r="AE70" s="18">
        <f t="shared" si="27"/>
        <v>6.1429026621776091</v>
      </c>
      <c r="AF70" s="20">
        <f t="shared" si="41"/>
        <v>6700.2891472762103</v>
      </c>
      <c r="AG70" s="20">
        <f>(SUM(AF$3:AF70)/($B70-$B$3+1))</f>
        <v>4925.9347460150111</v>
      </c>
      <c r="AH70" s="22">
        <f>SUM(AF$3:AF70)/1000</f>
        <v>334.96356272902079</v>
      </c>
      <c r="AI70" s="20">
        <v>2628.0176313091138</v>
      </c>
      <c r="AJ70" s="20">
        <f>(SUM(AI$3:AI70)/($B70-$B$3+1))</f>
        <v>2580.8526876220094</v>
      </c>
      <c r="AK70" s="21">
        <f>SUM(AI$3:AI70)/1000</f>
        <v>175.49798275829664</v>
      </c>
      <c r="AL70" s="23">
        <f t="shared" si="52"/>
        <v>2.2506721591241901</v>
      </c>
      <c r="AM70" s="23">
        <f t="shared" si="53"/>
        <v>2.4149897372911253</v>
      </c>
      <c r="AN70" s="24">
        <f t="shared" si="42"/>
        <v>0.77789389012104848</v>
      </c>
      <c r="AO70" s="24">
        <f t="shared" si="43"/>
        <v>0.83468654185282554</v>
      </c>
      <c r="AP70" s="24">
        <f t="shared" si="56"/>
        <v>0.80629021598693695</v>
      </c>
      <c r="AQ70" s="24">
        <f>(SUM(AP$3:AP70)/($B70-$B$3+1))</f>
        <v>1.0381813094972889</v>
      </c>
      <c r="AR70" s="21">
        <f t="shared" si="28"/>
        <v>21.482738409530562</v>
      </c>
      <c r="AS70" s="21">
        <f t="shared" si="28"/>
        <v>19.510516668327661</v>
      </c>
      <c r="AT70" s="21">
        <f t="shared" si="57"/>
        <v>20.496627538929111</v>
      </c>
      <c r="AU70" s="21">
        <f>(SUM(AT$3:AT70)/($B70-$B$3+1))</f>
        <v>19.06526415716548</v>
      </c>
      <c r="AV70" s="22">
        <f>SUM(AT$3:AT70)/1000</f>
        <v>1.2964379626872526</v>
      </c>
    </row>
    <row r="71" spans="1:48" ht="15.6">
      <c r="A71" s="17" t="s">
        <v>63</v>
      </c>
      <c r="B71" s="17">
        <v>128</v>
      </c>
      <c r="C71" s="18">
        <f t="shared" si="33"/>
        <v>85.122182049298431</v>
      </c>
      <c r="D71" s="18">
        <f t="shared" si="34"/>
        <v>80.192699202336783</v>
      </c>
      <c r="E71" s="18">
        <f t="shared" si="44"/>
        <v>82.6574406258176</v>
      </c>
      <c r="F71" s="19">
        <f t="shared" si="54"/>
        <v>1.0424353380488185</v>
      </c>
      <c r="G71" s="19">
        <f t="shared" si="54"/>
        <v>0.95242783333512193</v>
      </c>
      <c r="H71" s="19">
        <f t="shared" si="45"/>
        <v>0.99743158569197021</v>
      </c>
      <c r="I71" s="19">
        <f>(SUM(H$3:H71)/($B71-$B$3+1))</f>
        <v>0.89590354528983618</v>
      </c>
      <c r="J71" s="19"/>
      <c r="K71" s="19">
        <f t="shared" si="46"/>
        <v>2.7732964530175463</v>
      </c>
      <c r="L71" s="19">
        <f t="shared" si="47"/>
        <v>2.3489492308551831</v>
      </c>
      <c r="M71" s="19">
        <f t="shared" si="48"/>
        <v>2.5611228419363647</v>
      </c>
      <c r="N71" s="19">
        <f>(SUM(M$3:M71)/($B71-$B$3+1))</f>
        <v>1.9135192420497484</v>
      </c>
      <c r="O71" s="19">
        <f t="shared" si="35"/>
        <v>2.6604014194381325</v>
      </c>
      <c r="P71" s="19">
        <f t="shared" si="36"/>
        <v>2.4662752899921605</v>
      </c>
      <c r="Q71" s="19">
        <f t="shared" si="49"/>
        <v>2.5633383547151465</v>
      </c>
      <c r="R71" s="19">
        <f>(SUM(Q$3:Q71)/($B71-$B$3+1))</f>
        <v>2.1030115550595676</v>
      </c>
      <c r="S71" s="19">
        <f t="shared" si="37"/>
        <v>9.2866779009100764</v>
      </c>
      <c r="T71" s="19">
        <f t="shared" si="38"/>
        <v>8.4332864657340405</v>
      </c>
      <c r="U71" s="19">
        <f t="shared" si="55"/>
        <v>8.8599821833220584</v>
      </c>
      <c r="V71" s="19">
        <f>(SUM(U$3:U71)/($B71-$B$3+1))</f>
        <v>7.1476919010633813</v>
      </c>
      <c r="W71" s="18">
        <f t="shared" si="50"/>
        <v>9.6807612169856867</v>
      </c>
      <c r="X71" s="18">
        <f t="shared" si="51"/>
        <v>8.0320967564534804</v>
      </c>
      <c r="Y71" s="20">
        <f t="shared" si="39"/>
        <v>8856.4289867195839</v>
      </c>
      <c r="Z71" s="20">
        <f>(SUM(Y$3:Y71)/($B71-$B$3+1))</f>
        <v>6512.8750975662279</v>
      </c>
      <c r="AA71" s="21">
        <f>SUM(Y$3:Y71)/1000</f>
        <v>449.38838173206972</v>
      </c>
      <c r="AB71" s="20">
        <f t="shared" si="40"/>
        <v>3458.0258477658904</v>
      </c>
      <c r="AC71" s="20">
        <f>(SUM(AB$3:AB71)/($B71-$B$3+1))</f>
        <v>3395.1684076001625</v>
      </c>
      <c r="AD71" s="18">
        <f t="shared" si="27"/>
        <v>7.2919668274528577</v>
      </c>
      <c r="AE71" s="18">
        <f t="shared" si="27"/>
        <v>6.1762094896598239</v>
      </c>
      <c r="AF71" s="20">
        <f t="shared" si="41"/>
        <v>6734.0881585563411</v>
      </c>
      <c r="AG71" s="20">
        <f>(SUM(AF$3:AF71)/($B71-$B$3+1))</f>
        <v>4952.1398679358999</v>
      </c>
      <c r="AH71" s="22">
        <f>SUM(AF$3:AF71)/1000</f>
        <v>341.69765088757708</v>
      </c>
      <c r="AI71" s="20">
        <v>2629.3499274189285</v>
      </c>
      <c r="AJ71" s="20">
        <f>(SUM(AI$3:AI71)/($B71-$B$3+1))</f>
        <v>2581.5555461697909</v>
      </c>
      <c r="AK71" s="21">
        <f>SUM(AI$3:AI71)/1000</f>
        <v>178.12733268571557</v>
      </c>
      <c r="AL71" s="23">
        <f t="shared" si="52"/>
        <v>2.2345607547326085</v>
      </c>
      <c r="AM71" s="23">
        <f t="shared" si="53"/>
        <v>2.3993694052165173</v>
      </c>
      <c r="AN71" s="24">
        <f t="shared" si="42"/>
        <v>0.77271688482686174</v>
      </c>
      <c r="AO71" s="24">
        <f t="shared" si="43"/>
        <v>0.8297081421577388</v>
      </c>
      <c r="AP71" s="24">
        <f t="shared" si="56"/>
        <v>0.80121251349230027</v>
      </c>
      <c r="AQ71" s="24">
        <f>(SUM(AP$3:AP71)/($B71-$B$3+1))</f>
        <v>1.0347469791204051</v>
      </c>
      <c r="AR71" s="21">
        <f t="shared" si="28"/>
        <v>21.429729958771034</v>
      </c>
      <c r="AS71" s="21">
        <f t="shared" si="28"/>
        <v>19.489423023557038</v>
      </c>
      <c r="AT71" s="21">
        <f t="shared" si="57"/>
        <v>20.459576491164036</v>
      </c>
      <c r="AU71" s="21">
        <f>(SUM(AT$3:AT71)/($B71-$B$3+1))</f>
        <v>19.085471582295892</v>
      </c>
      <c r="AV71" s="22">
        <f>SUM(AT$3:AT71)/1000</f>
        <v>1.3168975391784166</v>
      </c>
    </row>
    <row r="72" spans="1:48" ht="15.6">
      <c r="A72" s="17" t="s">
        <v>63</v>
      </c>
      <c r="B72" s="17">
        <v>129</v>
      </c>
      <c r="C72" s="18">
        <f t="shared" si="33"/>
        <v>86.164617387347249</v>
      </c>
      <c r="D72" s="18">
        <f t="shared" si="34"/>
        <v>81.145127035671905</v>
      </c>
      <c r="E72" s="18">
        <f t="shared" si="44"/>
        <v>83.65487221150957</v>
      </c>
      <c r="F72" s="19">
        <f t="shared" si="54"/>
        <v>1.0421190270314895</v>
      </c>
      <c r="G72" s="19">
        <f t="shared" si="54"/>
        <v>0.95249155293501531</v>
      </c>
      <c r="H72" s="19">
        <f t="shared" si="45"/>
        <v>0.99730528998325241</v>
      </c>
      <c r="I72" s="19">
        <f>(SUM(H$3:H72)/($B72-$B$3+1))</f>
        <v>0.89735214164259924</v>
      </c>
      <c r="J72" s="19"/>
      <c r="K72" s="19">
        <f t="shared" si="46"/>
        <v>2.7845506550328252</v>
      </c>
      <c r="L72" s="19">
        <f t="shared" si="47"/>
        <v>2.3602538013917012</v>
      </c>
      <c r="M72" s="19">
        <f t="shared" si="48"/>
        <v>2.5724022282122632</v>
      </c>
      <c r="N72" s="19">
        <f>(SUM(M$3:M72)/($B72-$B$3+1))</f>
        <v>1.9229318561377844</v>
      </c>
      <c r="O72" s="19">
        <f t="shared" si="35"/>
        <v>2.6720082666225853</v>
      </c>
      <c r="P72" s="19">
        <f t="shared" si="36"/>
        <v>2.4779787223506555</v>
      </c>
      <c r="Q72" s="19">
        <f t="shared" si="49"/>
        <v>2.5749934944866206</v>
      </c>
      <c r="R72" s="19">
        <f>(SUM(Q$3:Q72)/($B72-$B$3+1))</f>
        <v>2.1097541541942397</v>
      </c>
      <c r="S72" s="19">
        <f t="shared" si="37"/>
        <v>9.3327112987975944</v>
      </c>
      <c r="T72" s="19">
        <f t="shared" si="38"/>
        <v>8.4767065579585932</v>
      </c>
      <c r="U72" s="19">
        <f t="shared" si="55"/>
        <v>8.9047089283780938</v>
      </c>
      <c r="V72" s="19">
        <f>(SUM(U$3:U72)/($B72-$B$3+1))</f>
        <v>7.1727921443107343</v>
      </c>
      <c r="W72" s="18">
        <f t="shared" si="50"/>
        <v>9.7257960182687384</v>
      </c>
      <c r="X72" s="18">
        <f t="shared" si="51"/>
        <v>8.0739913931644089</v>
      </c>
      <c r="Y72" s="20">
        <f t="shared" si="39"/>
        <v>8899.8937057165731</v>
      </c>
      <c r="Z72" s="20">
        <f>(SUM(Y$3:Y72)/($B72-$B$3+1))</f>
        <v>6546.9753633969476</v>
      </c>
      <c r="AA72" s="21">
        <f>SUM(Y$3:Y72)/1000</f>
        <v>458.2882754377863</v>
      </c>
      <c r="AB72" s="20">
        <f t="shared" si="40"/>
        <v>3459.7597561178109</v>
      </c>
      <c r="AC72" s="20">
        <f>(SUM(AB$3:AB72)/($B72-$B$3+1))</f>
        <v>3396.0911411504144</v>
      </c>
      <c r="AD72" s="18">
        <f t="shared" si="27"/>
        <v>7.3252292066560525</v>
      </c>
      <c r="AE72" s="18">
        <f t="shared" si="27"/>
        <v>6.2090449135218373</v>
      </c>
      <c r="AF72" s="20">
        <f t="shared" si="41"/>
        <v>6767.137060088945</v>
      </c>
      <c r="AG72" s="20">
        <f>(SUM(AF$3:AF72)/($B72-$B$3+1))</f>
        <v>4978.0683992523718</v>
      </c>
      <c r="AH72" s="22">
        <f>SUM(AF$3:AF72)/1000</f>
        <v>348.46478794766603</v>
      </c>
      <c r="AI72" s="20">
        <v>2630.6683246779362</v>
      </c>
      <c r="AJ72" s="20">
        <f>(SUM(AI$3:AI72)/($B72-$B$3+1))</f>
        <v>2582.2571572913362</v>
      </c>
      <c r="AK72" s="21">
        <f>SUM(AI$3:AI72)/1000</f>
        <v>180.75800101039351</v>
      </c>
      <c r="AL72" s="23">
        <f t="shared" si="52"/>
        <v>2.2187692514450443</v>
      </c>
      <c r="AM72" s="23">
        <f t="shared" si="53"/>
        <v>2.3840991410314141</v>
      </c>
      <c r="AN72" s="24">
        <f t="shared" si="42"/>
        <v>0.76764085642612057</v>
      </c>
      <c r="AO72" s="24">
        <f t="shared" si="43"/>
        <v>0.82484102627355271</v>
      </c>
      <c r="AP72" s="24">
        <f t="shared" si="56"/>
        <v>0.79624094134983658</v>
      </c>
      <c r="AQ72" s="24">
        <f>(SUM(AP$3:AP72)/($B72-$B$3+1))</f>
        <v>1.031339750009397</v>
      </c>
      <c r="AR72" s="21">
        <f t="shared" si="28"/>
        <v>21.375348495913126</v>
      </c>
      <c r="AS72" s="21">
        <f t="shared" si="28"/>
        <v>19.468341678059851</v>
      </c>
      <c r="AT72" s="21">
        <f t="shared" si="57"/>
        <v>20.421845086986487</v>
      </c>
      <c r="AU72" s="21">
        <f>(SUM(AT$3:AT72)/($B72-$B$3+1))</f>
        <v>19.104562632362899</v>
      </c>
      <c r="AV72" s="22">
        <f>SUM(AT$3:AT72)/1000</f>
        <v>1.337319384265403</v>
      </c>
    </row>
    <row r="73" spans="1:48" ht="15.6">
      <c r="A73" s="17" t="s">
        <v>63</v>
      </c>
      <c r="B73" s="17">
        <v>130</v>
      </c>
      <c r="C73" s="18">
        <f t="shared" si="33"/>
        <v>87.206736414378739</v>
      </c>
      <c r="D73" s="18">
        <f t="shared" si="34"/>
        <v>82.09761858860692</v>
      </c>
      <c r="E73" s="18">
        <f t="shared" si="44"/>
        <v>84.652177501492829</v>
      </c>
      <c r="F73" s="19">
        <f t="shared" si="54"/>
        <v>1.0416809887829004</v>
      </c>
      <c r="G73" s="19">
        <f t="shared" si="54"/>
        <v>0.95246093900217943</v>
      </c>
      <c r="H73" s="19">
        <f t="shared" si="45"/>
        <v>0.99707096389253991</v>
      </c>
      <c r="I73" s="19">
        <f>(SUM(H$3:H73)/($B73-$B$3+1))</f>
        <v>0.89875663209682377</v>
      </c>
      <c r="J73" s="19"/>
      <c r="K73" s="19">
        <f t="shared" si="46"/>
        <v>2.7954262413656603</v>
      </c>
      <c r="L73" s="19">
        <f t="shared" si="47"/>
        <v>2.3713820621963899</v>
      </c>
      <c r="M73" s="19">
        <f t="shared" si="48"/>
        <v>2.5834041517810249</v>
      </c>
      <c r="N73" s="19">
        <f>(SUM(M$3:M73)/($B73-$B$3+1))</f>
        <v>1.932234282836985</v>
      </c>
      <c r="O73" s="19">
        <f t="shared" si="35"/>
        <v>2.6835722946540814</v>
      </c>
      <c r="P73" s="19">
        <f t="shared" si="36"/>
        <v>2.489742061948184</v>
      </c>
      <c r="Q73" s="19">
        <f t="shared" si="49"/>
        <v>2.5866571783011327</v>
      </c>
      <c r="R73" s="19">
        <f>(SUM(Q$3:Q73)/($B73-$B$3+1))</f>
        <v>2.1164710981957451</v>
      </c>
      <c r="S73" s="19">
        <f t="shared" si="37"/>
        <v>9.3785934907361046</v>
      </c>
      <c r="T73" s="19">
        <f t="shared" si="38"/>
        <v>8.5203229683640416</v>
      </c>
      <c r="U73" s="19">
        <f t="shared" si="55"/>
        <v>8.9494582295500731</v>
      </c>
      <c r="V73" s="19">
        <f>(SUM(U$3:U73)/($B73-$B$3+1))</f>
        <v>7.1978156103000206</v>
      </c>
      <c r="W73" s="18">
        <f t="shared" si="50"/>
        <v>9.7695025408228595</v>
      </c>
      <c r="X73" s="18">
        <f t="shared" si="51"/>
        <v>8.115274815049851</v>
      </c>
      <c r="Y73" s="20">
        <f t="shared" si="39"/>
        <v>8942.3886779363547</v>
      </c>
      <c r="Z73" s="20">
        <f>(SUM(Y$3:Y73)/($B73-$B$3+1))</f>
        <v>6580.713579094685</v>
      </c>
      <c r="AA73" s="21">
        <f>SUM(Y$3:Y73)/1000</f>
        <v>467.23066411572262</v>
      </c>
      <c r="AB73" s="20">
        <f t="shared" si="40"/>
        <v>3461.4749193506491</v>
      </c>
      <c r="AC73" s="20">
        <f>(SUM(AB$3:AB73)/($B73-$B$3+1))</f>
        <v>3397.0120394349246</v>
      </c>
      <c r="AD73" s="18">
        <f t="shared" si="27"/>
        <v>7.3574849060282546</v>
      </c>
      <c r="AE73" s="18">
        <f t="shared" si="27"/>
        <v>6.2414123008705982</v>
      </c>
      <c r="AF73" s="20">
        <f t="shared" si="41"/>
        <v>6799.4486034494266</v>
      </c>
      <c r="AG73" s="20">
        <f>(SUM(AF$3:AF73)/($B73-$B$3+1))</f>
        <v>5003.7216415650064</v>
      </c>
      <c r="AH73" s="22">
        <f>SUM(AF$3:AF73)/1000</f>
        <v>355.26423655111546</v>
      </c>
      <c r="AI73" s="20">
        <v>2631.9724688689603</v>
      </c>
      <c r="AJ73" s="20">
        <f>(SUM(AI$3:AI73)/($B73-$B$3+1))</f>
        <v>2582.9573729473591</v>
      </c>
      <c r="AK73" s="21">
        <f>SUM(AI$3:AI73)/1000</f>
        <v>183.38997347926249</v>
      </c>
      <c r="AL73" s="23">
        <f t="shared" si="52"/>
        <v>2.2032992923678707</v>
      </c>
      <c r="AM73" s="23">
        <f t="shared" si="53"/>
        <v>2.3691806044000225</v>
      </c>
      <c r="AN73" s="24">
        <f t="shared" si="42"/>
        <v>0.76266652403544177</v>
      </c>
      <c r="AO73" s="24">
        <f t="shared" si="43"/>
        <v>0.82008592415426895</v>
      </c>
      <c r="AP73" s="24">
        <f t="shared" si="56"/>
        <v>0.79137622409485542</v>
      </c>
      <c r="AQ73" s="24">
        <f>(SUM(AP$3:AP73)/($B73-$B$3+1))</f>
        <v>1.0279599820387697</v>
      </c>
      <c r="AR73" s="21">
        <f t="shared" si="28"/>
        <v>21.319780146998081</v>
      </c>
      <c r="AS73" s="21">
        <f t="shared" si="28"/>
        <v>19.447370499991823</v>
      </c>
      <c r="AT73" s="21">
        <f t="shared" si="57"/>
        <v>20.383575323494952</v>
      </c>
      <c r="AU73" s="21">
        <f>(SUM(AT$3:AT73)/($B73-$B$3+1))</f>
        <v>19.12257689561828</v>
      </c>
      <c r="AV73" s="22">
        <f>SUM(AT$3:AT73)/1000</f>
        <v>1.3577029595888981</v>
      </c>
    </row>
    <row r="74" spans="1:48" ht="15.6">
      <c r="A74" s="17" t="s">
        <v>63</v>
      </c>
      <c r="B74" s="17">
        <v>131</v>
      </c>
      <c r="C74" s="18">
        <f t="shared" si="33"/>
        <v>88.248417403161639</v>
      </c>
      <c r="D74" s="18">
        <f t="shared" si="34"/>
        <v>83.0500795276091</v>
      </c>
      <c r="E74" s="18">
        <f t="shared" si="44"/>
        <v>85.649248465385369</v>
      </c>
      <c r="F74" s="19">
        <f t="shared" si="54"/>
        <v>1.0411232874613887</v>
      </c>
      <c r="G74" s="19">
        <f t="shared" si="54"/>
        <v>0.95233744363278561</v>
      </c>
      <c r="H74" s="19">
        <f t="shared" si="45"/>
        <v>0.99673036554708716</v>
      </c>
      <c r="I74" s="19">
        <f>(SUM(H$3:H74)/($B74-$B$3+1))</f>
        <v>0.90011737839474415</v>
      </c>
      <c r="J74" s="19"/>
      <c r="K74" s="19">
        <f t="shared" si="46"/>
        <v>2.8059327599455095</v>
      </c>
      <c r="L74" s="19">
        <f t="shared" si="47"/>
        <v>2.3823360767253559</v>
      </c>
      <c r="M74" s="19">
        <f t="shared" si="48"/>
        <v>2.5941344183354325</v>
      </c>
      <c r="N74" s="19">
        <f>(SUM(M$3:M74)/($B74-$B$3+1))</f>
        <v>1.9414273402744635</v>
      </c>
      <c r="O74" s="19">
        <f t="shared" si="35"/>
        <v>2.695101333087385</v>
      </c>
      <c r="P74" s="19">
        <f t="shared" si="36"/>
        <v>2.5015671626201095</v>
      </c>
      <c r="Q74" s="19">
        <f t="shared" si="49"/>
        <v>2.5983342478537472</v>
      </c>
      <c r="R74" s="19">
        <f>(SUM(Q$3:Q74)/($B74-$B$3+1))</f>
        <v>2.1231636419409954</v>
      </c>
      <c r="S74" s="19">
        <f t="shared" si="37"/>
        <v>9.4243483360512048</v>
      </c>
      <c r="T74" s="19">
        <f t="shared" si="38"/>
        <v>8.5641420639787604</v>
      </c>
      <c r="U74" s="19">
        <f t="shared" si="55"/>
        <v>8.9942452000149835</v>
      </c>
      <c r="V74" s="19">
        <f>(SUM(U$3:U74)/($B74-$B$3+1))</f>
        <v>7.2227660212682849</v>
      </c>
      <c r="W74" s="18">
        <f t="shared" si="50"/>
        <v>9.8119085218108992</v>
      </c>
      <c r="X74" s="18">
        <f t="shared" si="51"/>
        <v>8.1559531601175408</v>
      </c>
      <c r="Y74" s="20">
        <f t="shared" si="39"/>
        <v>8983.9308409642199</v>
      </c>
      <c r="Z74" s="20">
        <f>(SUM(Y$3:Y74)/($B74-$B$3+1))</f>
        <v>6614.0915966206503</v>
      </c>
      <c r="AA74" s="21">
        <f>SUM(Y$3:Y74)/1000</f>
        <v>476.21459495668682</v>
      </c>
      <c r="AB74" s="20">
        <f t="shared" si="40"/>
        <v>3463.1709048943198</v>
      </c>
      <c r="AC74" s="20">
        <f>(SUM(AB$3:AB74)/($B74-$B$3+1))</f>
        <v>3397.9309125663053</v>
      </c>
      <c r="AD74" s="18">
        <f t="shared" si="27"/>
        <v>7.3887561985345762</v>
      </c>
      <c r="AE74" s="18">
        <f t="shared" si="27"/>
        <v>6.2733151361185335</v>
      </c>
      <c r="AF74" s="20">
        <f t="shared" si="41"/>
        <v>6831.0356673265551</v>
      </c>
      <c r="AG74" s="20">
        <f>(SUM(AF$3:AF74)/($B74-$B$3+1))</f>
        <v>5029.1010030339166</v>
      </c>
      <c r="AH74" s="22">
        <f>SUM(AF$3:AF74)/1000</f>
        <v>362.09527221844201</v>
      </c>
      <c r="AI74" s="20">
        <v>2633.2620310823359</v>
      </c>
      <c r="AJ74" s="20">
        <f>(SUM(AI$3:AI74)/($B74-$B$3+1))</f>
        <v>2583.656048754789</v>
      </c>
      <c r="AK74" s="21">
        <f>SUM(AI$3:AI74)/1000</f>
        <v>186.02323551034482</v>
      </c>
      <c r="AL74" s="23">
        <f t="shared" si="52"/>
        <v>2.1881523406454484</v>
      </c>
      <c r="AM74" s="23">
        <f t="shared" si="53"/>
        <v>2.3546152912256506</v>
      </c>
      <c r="AN74" s="24">
        <f t="shared" si="42"/>
        <v>0.75779455215997216</v>
      </c>
      <c r="AO74" s="24">
        <f t="shared" si="43"/>
        <v>0.81544351687919381</v>
      </c>
      <c r="AP74" s="24">
        <f t="shared" si="56"/>
        <v>0.78661903451958293</v>
      </c>
      <c r="AQ74" s="24">
        <f>(SUM(AP$3:AP74)/($B74-$B$3+1))</f>
        <v>1.0246080244343367</v>
      </c>
      <c r="AR74" s="21">
        <f t="shared" si="28"/>
        <v>21.26320559213902</v>
      </c>
      <c r="AS74" s="21">
        <f t="shared" si="28"/>
        <v>19.426605087931051</v>
      </c>
      <c r="AT74" s="21">
        <f t="shared" si="57"/>
        <v>20.344905340035034</v>
      </c>
      <c r="AU74" s="21">
        <f>(SUM(AT$3:AT74)/($B74-$B$3+1))</f>
        <v>19.139553679568515</v>
      </c>
      <c r="AV74" s="22">
        <f>SUM(AT$3:AT74)/1000</f>
        <v>1.3780478649289329</v>
      </c>
    </row>
    <row r="75" spans="1:48" ht="15.6">
      <c r="A75" s="17" t="s">
        <v>63</v>
      </c>
      <c r="B75" s="17">
        <v>132</v>
      </c>
      <c r="C75" s="18">
        <f t="shared" si="33"/>
        <v>89.289540690623028</v>
      </c>
      <c r="D75" s="18">
        <f t="shared" si="34"/>
        <v>84.002416971241885</v>
      </c>
      <c r="E75" s="18">
        <f t="shared" si="44"/>
        <v>86.645978830932449</v>
      </c>
      <c r="F75" s="19">
        <f t="shared" si="54"/>
        <v>1.0404479954518706</v>
      </c>
      <c r="G75" s="19">
        <f t="shared" si="54"/>
        <v>0.95212252185103807</v>
      </c>
      <c r="H75" s="19">
        <f t="shared" si="45"/>
        <v>0.99628525865145434</v>
      </c>
      <c r="I75" s="19">
        <f>(SUM(H$3:H75)/($B75-$B$3+1))</f>
        <v>0.90143474661743872</v>
      </c>
      <c r="J75" s="19"/>
      <c r="K75" s="19">
        <f t="shared" si="46"/>
        <v>2.8160797397847666</v>
      </c>
      <c r="L75" s="19">
        <f t="shared" si="47"/>
        <v>2.3931179238943701</v>
      </c>
      <c r="M75" s="19">
        <f t="shared" si="48"/>
        <v>2.6045988318395681</v>
      </c>
      <c r="N75" s="19">
        <f>(SUM(M$3:M75)/($B75-$B$3+1))</f>
        <v>1.9505118812548077</v>
      </c>
      <c r="O75" s="19">
        <f t="shared" si="35"/>
        <v>2.7066030710758708</v>
      </c>
      <c r="P75" s="19">
        <f t="shared" si="36"/>
        <v>2.5134558515030898</v>
      </c>
      <c r="Q75" s="19">
        <f t="shared" si="49"/>
        <v>2.6100294612894803</v>
      </c>
      <c r="R75" s="19">
        <f>(SUM(Q$3:Q75)/($B75-$B$3+1))</f>
        <v>2.1298330367265912</v>
      </c>
      <c r="S75" s="19">
        <f t="shared" si="37"/>
        <v>9.4699993812795782</v>
      </c>
      <c r="T75" s="19">
        <f t="shared" si="38"/>
        <v>8.6081701328796356</v>
      </c>
      <c r="U75" s="19">
        <f t="shared" si="55"/>
        <v>9.0390847570796069</v>
      </c>
      <c r="V75" s="19">
        <f>(SUM(U$3:U75)/($B75-$B$3+1))</f>
        <v>7.2476470998410436</v>
      </c>
      <c r="W75" s="18">
        <f t="shared" si="50"/>
        <v>9.8530418731827929</v>
      </c>
      <c r="X75" s="18">
        <f t="shared" si="51"/>
        <v>8.1960326554401437</v>
      </c>
      <c r="Y75" s="20">
        <f t="shared" si="39"/>
        <v>9024.5372643114697</v>
      </c>
      <c r="Z75" s="20">
        <f>(SUM(Y$3:Y75)/($B75-$B$3+1))</f>
        <v>6647.1114002876475</v>
      </c>
      <c r="AA75" s="21">
        <f>SUM(Y$3:Y75)/1000</f>
        <v>485.23913222099827</v>
      </c>
      <c r="AB75" s="20">
        <f t="shared" si="40"/>
        <v>3464.8473131417504</v>
      </c>
      <c r="AC75" s="20">
        <f>(SUM(AB$3:AB75)/($B75-$B$3+1))</f>
        <v>3398.8475755878867</v>
      </c>
      <c r="AD75" s="18">
        <f t="shared" si="27"/>
        <v>7.4190654456317437</v>
      </c>
      <c r="AE75" s="18">
        <f t="shared" si="27"/>
        <v>6.3047570158093933</v>
      </c>
      <c r="AF75" s="20">
        <f t="shared" si="41"/>
        <v>6861.9112307205687</v>
      </c>
      <c r="AG75" s="20">
        <f>(SUM(AF$3:AF75)/($B75-$B$3+1))</f>
        <v>5054.2079924542822</v>
      </c>
      <c r="AH75" s="22">
        <f>SUM(AF$3:AF75)/1000</f>
        <v>368.95718344916259</v>
      </c>
      <c r="AI75" s="20">
        <v>2634.5367074722053</v>
      </c>
      <c r="AJ75" s="20">
        <f>(SUM(AI$3:AI75)/($B75-$B$3+1))</f>
        <v>2584.3530440796853</v>
      </c>
      <c r="AK75" s="21">
        <f>SUM(AI$3:AI75)/1000</f>
        <v>188.65777221781701</v>
      </c>
      <c r="AL75" s="23">
        <f t="shared" si="52"/>
        <v>2.1733296825772688</v>
      </c>
      <c r="AM75" s="23">
        <f t="shared" si="53"/>
        <v>2.3404045362711567</v>
      </c>
      <c r="AN75" s="24">
        <f t="shared" si="42"/>
        <v>0.75302555112490632</v>
      </c>
      <c r="AO75" s="24">
        <f t="shared" si="43"/>
        <v>0.8109144369163882</v>
      </c>
      <c r="AP75" s="24">
        <f t="shared" si="56"/>
        <v>0.78196999402064726</v>
      </c>
      <c r="AQ75" s="24">
        <f>(SUM(AP$3:AP75)/($B75-$B$3+1))</f>
        <v>1.0212842157985327</v>
      </c>
      <c r="AR75" s="21">
        <f t="shared" si="28"/>
        <v>21.205799980631067</v>
      </c>
      <c r="AS75" s="21">
        <f t="shared" si="28"/>
        <v>19.40613873729319</v>
      </c>
      <c r="AT75" s="21">
        <f t="shared" si="57"/>
        <v>20.30596935896213</v>
      </c>
      <c r="AU75" s="21">
        <f>(SUM(AT$3:AT75)/($B75-$B$3+1))</f>
        <v>19.155531976546509</v>
      </c>
      <c r="AV75" s="22">
        <f>SUM(AT$3:AT75)/1000</f>
        <v>1.3983538342878952</v>
      </c>
    </row>
    <row r="76" spans="1:48" ht="15.6">
      <c r="A76" s="17" t="s">
        <v>63</v>
      </c>
      <c r="B76" s="17">
        <v>133</v>
      </c>
      <c r="C76" s="18">
        <f t="shared" si="33"/>
        <v>90.329988686074898</v>
      </c>
      <c r="D76" s="18">
        <f t="shared" si="34"/>
        <v>84.954539493092923</v>
      </c>
      <c r="E76" s="18">
        <f t="shared" si="44"/>
        <v>87.642264089583904</v>
      </c>
      <c r="F76" s="19">
        <f t="shared" si="54"/>
        <v>1.0396571918338822</v>
      </c>
      <c r="G76" s="19">
        <f t="shared" si="54"/>
        <v>0.95181763080839232</v>
      </c>
      <c r="H76" s="19">
        <f t="shared" si="45"/>
        <v>0.99573741132113724</v>
      </c>
      <c r="I76" s="19">
        <f>(SUM(H$3:H76)/($B76-$B$3+1))</f>
        <v>0.90270910695127249</v>
      </c>
      <c r="J76" s="19"/>
      <c r="K76" s="19">
        <f t="shared" si="46"/>
        <v>2.8258766736072283</v>
      </c>
      <c r="L76" s="19">
        <f t="shared" si="47"/>
        <v>2.4037296957528622</v>
      </c>
      <c r="M76" s="19">
        <f t="shared" si="48"/>
        <v>2.6148031846800452</v>
      </c>
      <c r="N76" s="19">
        <f>(SUM(M$3:M76)/($B76-$B$3+1))</f>
        <v>1.9594887907605543</v>
      </c>
      <c r="O76" s="19">
        <f t="shared" si="35"/>
        <v>2.7180850532304599</v>
      </c>
      <c r="P76" s="19">
        <f t="shared" si="36"/>
        <v>2.5254099293278904</v>
      </c>
      <c r="Q76" s="19">
        <f t="shared" si="49"/>
        <v>2.6217474912791752</v>
      </c>
      <c r="R76" s="19">
        <f>(SUM(Q$3:Q76)/($B76-$B$3+1))</f>
        <v>2.1364805293556799</v>
      </c>
      <c r="S76" s="19">
        <f t="shared" si="37"/>
        <v>9.5155698445471906</v>
      </c>
      <c r="T76" s="19">
        <f t="shared" si="38"/>
        <v>8.652413384699944</v>
      </c>
      <c r="U76" s="19">
        <f t="shared" si="55"/>
        <v>9.0839916146235673</v>
      </c>
      <c r="V76" s="19">
        <f>(SUM(U$3:U76)/($B76-$B$3+1))</f>
        <v>7.2724625662570226</v>
      </c>
      <c r="W76" s="18">
        <f t="shared" si="50"/>
        <v>9.892930623281103</v>
      </c>
      <c r="X76" s="18">
        <f t="shared" si="51"/>
        <v>8.2355196085999243</v>
      </c>
      <c r="Y76" s="20">
        <f t="shared" si="39"/>
        <v>9064.2251159405132</v>
      </c>
      <c r="Z76" s="20">
        <f>(SUM(Y$3:Y76)/($B76-$B$3+1))</f>
        <v>6679.7750991478215</v>
      </c>
      <c r="AA76" s="21">
        <f>SUM(Y$3:Y76)/1000</f>
        <v>494.3033573369388</v>
      </c>
      <c r="AB76" s="20">
        <f t="shared" si="40"/>
        <v>3466.5037770518234</v>
      </c>
      <c r="AC76" s="20">
        <f>(SUM(AB$3:AB76)/($B76-$B$3+1))</f>
        <v>3399.7618485806424</v>
      </c>
      <c r="AD76" s="18">
        <f t="shared" si="27"/>
        <v>7.4484350515259692</v>
      </c>
      <c r="AE76" s="18">
        <f t="shared" si="27"/>
        <v>6.3357416434543143</v>
      </c>
      <c r="AF76" s="20">
        <f t="shared" si="41"/>
        <v>6892.088347490142</v>
      </c>
      <c r="AG76" s="20">
        <f>(SUM(AF$3:AF76)/($B76-$B$3+1))</f>
        <v>5079.0442134682798</v>
      </c>
      <c r="AH76" s="22">
        <f>SUM(AF$3:AF76)/1000</f>
        <v>375.84927179665272</v>
      </c>
      <c r="AI76" s="20">
        <v>2635.7962189546124</v>
      </c>
      <c r="AJ76" s="20">
        <f>(SUM(AI$3:AI76)/($B76-$B$3+1))</f>
        <v>2585.0482221185357</v>
      </c>
      <c r="AK76" s="21">
        <f>SUM(AI$3:AI76)/1000</f>
        <v>191.29356843677164</v>
      </c>
      <c r="AL76" s="23">
        <f t="shared" si="52"/>
        <v>2.1588324308131712</v>
      </c>
      <c r="AM76" s="23">
        <f t="shared" si="53"/>
        <v>2.3265495158333209</v>
      </c>
      <c r="AN76" s="24">
        <f t="shared" si="42"/>
        <v>0.74836007754358269</v>
      </c>
      <c r="AO76" s="24">
        <f t="shared" si="43"/>
        <v>0.80649926841342978</v>
      </c>
      <c r="AP76" s="24">
        <f t="shared" si="56"/>
        <v>0.77742967297850618</v>
      </c>
      <c r="AQ76" s="24">
        <f>(SUM(AP$3:AP76)/($B76-$B$3+1))</f>
        <v>1.0179888841388025</v>
      </c>
      <c r="AR76" s="21">
        <f t="shared" si="28"/>
        <v>21.147732865893069</v>
      </c>
      <c r="AS76" s="21">
        <f t="shared" si="28"/>
        <v>19.386062410883195</v>
      </c>
      <c r="AT76" s="21">
        <f t="shared" si="57"/>
        <v>20.26689763838813</v>
      </c>
      <c r="AU76" s="21">
        <f>(SUM(AT$3:AT76)/($B76-$B$3+1))</f>
        <v>19.170550431436261</v>
      </c>
      <c r="AV76" s="22">
        <f>SUM(AT$3:AT76)/1000</f>
        <v>1.4186207319262834</v>
      </c>
    </row>
    <row r="77" spans="1:48" ht="15.6">
      <c r="A77" s="17" t="s">
        <v>63</v>
      </c>
      <c r="B77" s="17">
        <v>134</v>
      </c>
      <c r="C77" s="18">
        <f t="shared" si="33"/>
        <v>91.369645877908781</v>
      </c>
      <c r="D77" s="18">
        <f t="shared" si="34"/>
        <v>85.906357123901316</v>
      </c>
      <c r="E77" s="18">
        <f t="shared" si="44"/>
        <v>88.638001500905048</v>
      </c>
      <c r="F77" s="19">
        <f t="shared" si="54"/>
        <v>1.0387529608895534</v>
      </c>
      <c r="G77" s="19">
        <f t="shared" si="54"/>
        <v>0.95142422900448764</v>
      </c>
      <c r="H77" s="19">
        <f t="shared" si="45"/>
        <v>0.99508859494702051</v>
      </c>
      <c r="I77" s="19">
        <f>(SUM(H$3:H77)/($B77-$B$3+1))</f>
        <v>0.90394083345788245</v>
      </c>
      <c r="J77" s="19"/>
      <c r="K77" s="19">
        <f t="shared" si="46"/>
        <v>2.8353330016708251</v>
      </c>
      <c r="L77" s="19">
        <f t="shared" si="47"/>
        <v>2.4141734952571383</v>
      </c>
      <c r="M77" s="19">
        <f t="shared" si="48"/>
        <v>2.6247532484639819</v>
      </c>
      <c r="N77" s="19">
        <f>(SUM(M$3:M77)/($B77-$B$3+1))</f>
        <v>1.9683589835299331</v>
      </c>
      <c r="O77" s="19">
        <f t="shared" si="35"/>
        <v>2.729554676063441</v>
      </c>
      <c r="P77" s="19">
        <f t="shared" si="36"/>
        <v>2.5374311707230564</v>
      </c>
      <c r="Q77" s="19">
        <f t="shared" si="49"/>
        <v>2.6334929233932485</v>
      </c>
      <c r="R77" s="19">
        <f>(SUM(Q$3:Q77)/($B77-$B$3+1))</f>
        <v>2.1431073612761806</v>
      </c>
      <c r="S77" s="19">
        <f t="shared" si="37"/>
        <v>9.5610826015288186</v>
      </c>
      <c r="T77" s="19">
        <f t="shared" si="38"/>
        <v>8.6968779511853622</v>
      </c>
      <c r="U77" s="19">
        <f t="shared" si="55"/>
        <v>9.1289802763570904</v>
      </c>
      <c r="V77" s="19">
        <f>(SUM(U$3:U77)/($B77-$B$3+1))</f>
        <v>7.2972161357250238</v>
      </c>
      <c r="W77" s="18">
        <f t="shared" si="50"/>
        <v>9.9316028616476544</v>
      </c>
      <c r="X77" s="18">
        <f t="shared" si="51"/>
        <v>8.2744203994526622</v>
      </c>
      <c r="Y77" s="20">
        <f t="shared" si="39"/>
        <v>9103.0116305501579</v>
      </c>
      <c r="Z77" s="20">
        <f>(SUM(Y$3:Y77)/($B77-$B$3+1))</f>
        <v>6712.0849195665187</v>
      </c>
      <c r="AA77" s="21">
        <f>SUM(Y$3:Y77)/1000</f>
        <v>503.40636896748896</v>
      </c>
      <c r="AB77" s="20">
        <f t="shared" si="40"/>
        <v>3468.1399616810772</v>
      </c>
      <c r="AC77" s="20">
        <f>(SUM(AB$3:AB77)/($B77-$B$3+1))</f>
        <v>3400.6735567553146</v>
      </c>
      <c r="AD77" s="18">
        <f t="shared" si="27"/>
        <v>7.4768874200933357</v>
      </c>
      <c r="AE77" s="18">
        <f t="shared" si="27"/>
        <v>6.3662728243821549</v>
      </c>
      <c r="AF77" s="20">
        <f t="shared" si="41"/>
        <v>6921.5801222377459</v>
      </c>
      <c r="AG77" s="20">
        <f>(SUM(AF$3:AF77)/($B77-$B$3+1))</f>
        <v>5103.6113589185388</v>
      </c>
      <c r="AH77" s="22">
        <f>SUM(AF$3:AF77)/1000</f>
        <v>382.77085191889046</v>
      </c>
      <c r="AI77" s="20">
        <v>2637.0403108514247</v>
      </c>
      <c r="AJ77" s="20">
        <f>(SUM(AI$3:AI77)/($B77-$B$3+1))</f>
        <v>2585.7414499683073</v>
      </c>
      <c r="AK77" s="21">
        <f>SUM(AI$3:AI77)/1000</f>
        <v>193.93060874762304</v>
      </c>
      <c r="AL77" s="23">
        <f t="shared" si="52"/>
        <v>2.1446615276201841</v>
      </c>
      <c r="AM77" s="23">
        <f t="shared" si="53"/>
        <v>2.3130512504669145</v>
      </c>
      <c r="AN77" s="24">
        <f t="shared" si="42"/>
        <v>0.74379863482195463</v>
      </c>
      <c r="AO77" s="24">
        <f t="shared" si="43"/>
        <v>0.80219854751606923</v>
      </c>
      <c r="AP77" s="24">
        <f t="shared" si="56"/>
        <v>0.77299859116901193</v>
      </c>
      <c r="AQ77" s="24">
        <f>(SUM(AP$3:AP77)/($B77-$B$3+1))</f>
        <v>1.0147223468992053</v>
      </c>
      <c r="AR77" s="21">
        <f t="shared" si="28"/>
        <v>21.089168159083943</v>
      </c>
      <c r="AS77" s="21">
        <f t="shared" si="28"/>
        <v>19.366464713470684</v>
      </c>
      <c r="AT77" s="21">
        <f t="shared" si="57"/>
        <v>20.227816436277315</v>
      </c>
      <c r="AU77" s="21">
        <f>(SUM(AT$3:AT77)/($B77-$B$3+1))</f>
        <v>19.184647311500807</v>
      </c>
      <c r="AV77" s="22">
        <f>SUM(AT$3:AT77)/1000</f>
        <v>1.4388485483625606</v>
      </c>
    </row>
    <row r="78" spans="1:48" ht="15.6">
      <c r="A78" s="17" t="s">
        <v>63</v>
      </c>
      <c r="B78" s="17">
        <v>135</v>
      </c>
      <c r="C78" s="18">
        <f t="shared" si="33"/>
        <v>92.408398838798334</v>
      </c>
      <c r="D78" s="18">
        <f t="shared" si="34"/>
        <v>86.857781352905803</v>
      </c>
      <c r="E78" s="18">
        <f t="shared" si="44"/>
        <v>89.633090095852069</v>
      </c>
      <c r="F78" s="19">
        <f t="shared" si="54"/>
        <v>1.0377373906515857</v>
      </c>
      <c r="G78" s="19">
        <f t="shared" si="54"/>
        <v>0.95094377552797482</v>
      </c>
      <c r="H78" s="19">
        <f t="shared" si="45"/>
        <v>0.99434058308978024</v>
      </c>
      <c r="I78" s="19">
        <f>(SUM(H$3:H78)/($B78-$B$3+1))</f>
        <v>0.90513030384777582</v>
      </c>
      <c r="J78" s="19"/>
      <c r="K78" s="19">
        <f t="shared" si="46"/>
        <v>2.8444580967585122</v>
      </c>
      <c r="L78" s="19">
        <f t="shared" si="47"/>
        <v>2.4244514341406269</v>
      </c>
      <c r="M78" s="19">
        <f t="shared" si="48"/>
        <v>2.6344547654495694</v>
      </c>
      <c r="N78" s="19">
        <f>(SUM(M$3:M78)/($B78-$B$3+1))</f>
        <v>1.9771234017130861</v>
      </c>
      <c r="O78" s="19">
        <f t="shared" si="35"/>
        <v>2.7410191849910155</v>
      </c>
      <c r="P78" s="19">
        <f t="shared" si="36"/>
        <v>2.5495213245331394</v>
      </c>
      <c r="Q78" s="19">
        <f t="shared" si="49"/>
        <v>2.6452702547620772</v>
      </c>
      <c r="R78" s="19">
        <f>(SUM(Q$3:Q78)/($B78-$B$3+1))</f>
        <v>2.1497147677694159</v>
      </c>
      <c r="S78" s="19">
        <f t="shared" si="37"/>
        <v>9.6065601729331416</v>
      </c>
      <c r="T78" s="19">
        <f t="shared" si="38"/>
        <v>8.7415698868108116</v>
      </c>
      <c r="U78" s="19">
        <f t="shared" si="55"/>
        <v>9.1740650298719757</v>
      </c>
      <c r="V78" s="19">
        <f>(SUM(U$3:U78)/($B78-$B$3+1))</f>
        <v>7.3219115159111672</v>
      </c>
      <c r="W78" s="18">
        <f t="shared" si="50"/>
        <v>9.969086686997084</v>
      </c>
      <c r="X78" s="18">
        <f t="shared" si="51"/>
        <v>8.3127414722055253</v>
      </c>
      <c r="Y78" s="20">
        <f t="shared" si="39"/>
        <v>9140.9140796013053</v>
      </c>
      <c r="Z78" s="20">
        <f>(SUM(Y$3:Y78)/($B78-$B$3+1))</f>
        <v>6744.0431979880295</v>
      </c>
      <c r="AA78" s="21">
        <f>SUM(Y$3:Y78)/1000</f>
        <v>512.54728304709022</v>
      </c>
      <c r="AB78" s="20">
        <f t="shared" si="40"/>
        <v>3469.7555636493948</v>
      </c>
      <c r="AC78" s="20">
        <f>(SUM(AB$3:AB78)/($B78-$B$3+1))</f>
        <v>3401.5825305302369</v>
      </c>
      <c r="AD78" s="18">
        <f t="shared" si="27"/>
        <v>7.5044449144282703</v>
      </c>
      <c r="AE78" s="18">
        <f t="shared" si="27"/>
        <v>6.3963544606083875</v>
      </c>
      <c r="AF78" s="20">
        <f t="shared" si="41"/>
        <v>6950.3996875183293</v>
      </c>
      <c r="AG78" s="20">
        <f>(SUM(AF$3:AF78)/($B78-$B$3+1))</f>
        <v>5127.9112053474837</v>
      </c>
      <c r="AH78" s="22">
        <f>SUM(AF$3:AF78)/1000</f>
        <v>389.72125160640871</v>
      </c>
      <c r="AI78" s="20">
        <v>2638.2687524840626</v>
      </c>
      <c r="AJ78" s="20">
        <f>(SUM(AI$3:AI78)/($B78-$B$3+1))</f>
        <v>2586.4325986856197</v>
      </c>
      <c r="AK78" s="21">
        <f>SUM(AI$3:AI78)/1000</f>
        <v>196.56887750010711</v>
      </c>
      <c r="AL78" s="23">
        <f t="shared" si="52"/>
        <v>2.1308177482146964</v>
      </c>
      <c r="AM78" s="23">
        <f t="shared" si="53"/>
        <v>2.2999106077542786</v>
      </c>
      <c r="AN78" s="24">
        <f t="shared" si="42"/>
        <v>0.73934167369908177</v>
      </c>
      <c r="AO78" s="24">
        <f t="shared" si="43"/>
        <v>0.79801276271516686</v>
      </c>
      <c r="AP78" s="24">
        <f t="shared" si="56"/>
        <v>0.76867721820712431</v>
      </c>
      <c r="AQ78" s="24">
        <f>(SUM(AP$3:AP78)/($B78-$B$3+1))</f>
        <v>1.0114849109953621</v>
      </c>
      <c r="AR78" s="21">
        <f t="shared" si="28"/>
        <v>21.030264100243432</v>
      </c>
      <c r="AS78" s="21">
        <f t="shared" si="28"/>
        <v>19.347431870273102</v>
      </c>
      <c r="AT78" s="21">
        <f t="shared" si="57"/>
        <v>20.188847985258267</v>
      </c>
      <c r="AU78" s="21">
        <f>(SUM(AT$3:AT78)/($B78-$B$3+1))</f>
        <v>19.197860478260775</v>
      </c>
      <c r="AV78" s="22">
        <f>SUM(AT$3:AT78)/1000</f>
        <v>1.4590373963478189</v>
      </c>
    </row>
    <row r="79" spans="1:48" ht="15.6">
      <c r="A79" s="17" t="s">
        <v>63</v>
      </c>
      <c r="B79" s="17">
        <v>136</v>
      </c>
      <c r="C79" s="18">
        <f t="shared" si="33"/>
        <v>93.44613622944992</v>
      </c>
      <c r="D79" s="18">
        <f t="shared" si="34"/>
        <v>87.808725128433778</v>
      </c>
      <c r="E79" s="18">
        <f t="shared" si="44"/>
        <v>90.627430678941849</v>
      </c>
      <c r="F79" s="19">
        <f t="shared" si="54"/>
        <v>1.0366125714928529</v>
      </c>
      <c r="G79" s="19">
        <f t="shared" si="54"/>
        <v>0.95037772931887332</v>
      </c>
      <c r="H79" s="19">
        <f t="shared" si="45"/>
        <v>0.99349515040586311</v>
      </c>
      <c r="I79" s="19">
        <f>(SUM(H$3:H79)/($B79-$B$3+1))</f>
        <v>0.90627789925762114</v>
      </c>
      <c r="J79" s="19"/>
      <c r="K79" s="19">
        <f t="shared" si="46"/>
        <v>2.853261250308083</v>
      </c>
      <c r="L79" s="19">
        <f t="shared" si="47"/>
        <v>2.4345656308789603</v>
      </c>
      <c r="M79" s="19">
        <f t="shared" si="48"/>
        <v>2.6439134405935216</v>
      </c>
      <c r="N79" s="19">
        <f>(SUM(M$3:M79)/($B79-$B$3+1))</f>
        <v>1.985783012607637</v>
      </c>
      <c r="O79" s="19">
        <f t="shared" si="35"/>
        <v>2.7524856718639121</v>
      </c>
      <c r="P79" s="19">
        <f t="shared" si="36"/>
        <v>2.5616821141461199</v>
      </c>
      <c r="Q79" s="19">
        <f t="shared" si="49"/>
        <v>2.6570838930050158</v>
      </c>
      <c r="R79" s="19">
        <f>(SUM(Q$3:Q79)/($B79-$B$3+1))</f>
        <v>2.1563039771880605</v>
      </c>
      <c r="S79" s="19">
        <f t="shared" si="37"/>
        <v>9.6520247134412784</v>
      </c>
      <c r="T79" s="19">
        <f t="shared" si="38"/>
        <v>8.7864951694398048</v>
      </c>
      <c r="U79" s="19">
        <f t="shared" si="55"/>
        <v>9.2192599414405407</v>
      </c>
      <c r="V79" s="19">
        <f>(SUM(U$3:U79)/($B79-$B$3+1))</f>
        <v>7.3465524045544059</v>
      </c>
      <c r="W79" s="18">
        <f t="shared" si="50"/>
        <v>10.00541015831293</v>
      </c>
      <c r="X79" s="18">
        <f t="shared" si="51"/>
        <v>8.3504893278034515</v>
      </c>
      <c r="Y79" s="20">
        <f t="shared" si="39"/>
        <v>9177.9497430581905</v>
      </c>
      <c r="Z79" s="20">
        <f>(SUM(Y$3:Y79)/($B79-$B$3+1))</f>
        <v>6775.6523738980313</v>
      </c>
      <c r="AA79" s="21">
        <f>SUM(Y$3:Y79)/1000</f>
        <v>521.72523279014843</v>
      </c>
      <c r="AB79" s="20">
        <f t="shared" si="40"/>
        <v>3471.3503105449131</v>
      </c>
      <c r="AC79" s="20">
        <f>(SUM(AB$3:AB79)/($B79-$B$3+1))</f>
        <v>3402.488605595363</v>
      </c>
      <c r="AD79" s="18">
        <f t="shared" si="27"/>
        <v>7.53112981897746</v>
      </c>
      <c r="AE79" s="18">
        <f t="shared" si="27"/>
        <v>6.4259905457274442</v>
      </c>
      <c r="AF79" s="20">
        <f t="shared" si="41"/>
        <v>6978.5601823524521</v>
      </c>
      <c r="AG79" s="20">
        <f>(SUM(AF$3:AF79)/($B79-$B$3+1))</f>
        <v>5151.9456076462493</v>
      </c>
      <c r="AH79" s="22">
        <f>SUM(AF$3:AF79)/1000</f>
        <v>396.69981178876117</v>
      </c>
      <c r="AI79" s="20">
        <v>2639.4813367210172</v>
      </c>
      <c r="AJ79" s="20">
        <f>(SUM(AI$3:AI79)/($B79-$B$3+1))</f>
        <v>2587.12154333543</v>
      </c>
      <c r="AK79" s="21">
        <f>SUM(AI$3:AI79)/1000</f>
        <v>199.20835883682813</v>
      </c>
      <c r="AL79" s="23">
        <f t="shared" si="52"/>
        <v>2.1173017041538058</v>
      </c>
      <c r="AM79" s="23">
        <f t="shared" si="53"/>
        <v>2.2871283051163278</v>
      </c>
      <c r="AN79" s="24">
        <f t="shared" si="42"/>
        <v>0.73498959282315879</v>
      </c>
      <c r="AO79" s="24">
        <f t="shared" si="43"/>
        <v>0.7939423552221625</v>
      </c>
      <c r="AP79" s="24">
        <f t="shared" si="56"/>
        <v>0.7644659740226607</v>
      </c>
      <c r="AQ79" s="24">
        <f>(SUM(AP$3:AP79)/($B79-$B$3+1))</f>
        <v>1.0082768728528595</v>
      </c>
      <c r="AR79" s="21">
        <f t="shared" si="28"/>
        <v>20.971173245820349</v>
      </c>
      <c r="AS79" s="21">
        <f t="shared" si="28"/>
        <v>19.329047709229716</v>
      </c>
      <c r="AT79" s="21">
        <f t="shared" si="57"/>
        <v>20.150110477525033</v>
      </c>
      <c r="AU79" s="21">
        <f>(SUM(AT$3:AT79)/($B79-$B$3+1))</f>
        <v>19.210227361368101</v>
      </c>
      <c r="AV79" s="22">
        <f>SUM(AT$3:AT79)/1000</f>
        <v>1.4791875068253439</v>
      </c>
    </row>
    <row r="80" spans="1:48" ht="15.6">
      <c r="A80" s="17" t="s">
        <v>63</v>
      </c>
      <c r="B80" s="17">
        <v>137</v>
      </c>
      <c r="C80" s="18">
        <f t="shared" si="33"/>
        <v>94.482748800942773</v>
      </c>
      <c r="D80" s="18">
        <f t="shared" si="34"/>
        <v>88.759102857752652</v>
      </c>
      <c r="E80" s="18">
        <f t="shared" si="44"/>
        <v>91.620925829347712</v>
      </c>
      <c r="F80" s="19">
        <f t="shared" si="54"/>
        <v>1.0353805947563473</v>
      </c>
      <c r="G80" s="19">
        <f t="shared" si="54"/>
        <v>0.94972754845159102</v>
      </c>
      <c r="H80" s="19">
        <f t="shared" si="45"/>
        <v>0.99255407160396913</v>
      </c>
      <c r="I80" s="19">
        <f>(SUM(H$3:H80)/($B80-$B$3+1))</f>
        <v>0.90738400403129216</v>
      </c>
      <c r="J80" s="19"/>
      <c r="K80" s="19">
        <f t="shared" si="46"/>
        <v>2.8617516596489594</v>
      </c>
      <c r="L80" s="19">
        <f t="shared" si="47"/>
        <v>2.4445182087475921</v>
      </c>
      <c r="M80" s="19">
        <f t="shared" si="48"/>
        <v>2.6531349341982757</v>
      </c>
      <c r="N80" s="19">
        <f>(SUM(M$3:M80)/($B80-$B$3+1))</f>
        <v>1.9943388064741838</v>
      </c>
      <c r="O80" s="19">
        <f t="shared" si="35"/>
        <v>2.7639610730027311</v>
      </c>
      <c r="P80" s="19">
        <f t="shared" si="36"/>
        <v>2.5739152378311712</v>
      </c>
      <c r="Q80" s="19">
        <f t="shared" si="49"/>
        <v>2.6689381554169511</v>
      </c>
      <c r="R80" s="19">
        <f>(SUM(Q$3:Q80)/($B80-$B$3+1))</f>
        <v>2.1628762102422772</v>
      </c>
      <c r="S80" s="19">
        <f t="shared" si="37"/>
        <v>9.6974980020516153</v>
      </c>
      <c r="T80" s="19">
        <f t="shared" si="38"/>
        <v>8.831659701030441</v>
      </c>
      <c r="U80" s="19">
        <f t="shared" si="55"/>
        <v>9.2645788515410281</v>
      </c>
      <c r="V80" s="19">
        <f>(SUM(U$3:U80)/($B80-$B$3+1))</f>
        <v>7.3711424872080809</v>
      </c>
      <c r="W80" s="18">
        <f t="shared" si="50"/>
        <v>10.04060124901269</v>
      </c>
      <c r="X80" s="18">
        <f t="shared" si="51"/>
        <v>8.3876705166183516</v>
      </c>
      <c r="Y80" s="20">
        <f t="shared" si="39"/>
        <v>9214.1358828155207</v>
      </c>
      <c r="Z80" s="20">
        <f>(SUM(Y$3:Y80)/($B80-$B$3+1))</f>
        <v>6806.9149829867174</v>
      </c>
      <c r="AA80" s="21">
        <f>SUM(Y$3:Y80)/1000</f>
        <v>530.93936867296395</v>
      </c>
      <c r="AB80" s="20">
        <f t="shared" si="40"/>
        <v>3472.9239602733769</v>
      </c>
      <c r="AC80" s="20">
        <f>(SUM(AB$3:AB80)/($B80-$B$3+1))</f>
        <v>3403.3916229630295</v>
      </c>
      <c r="AD80" s="18">
        <f t="shared" si="27"/>
        <v>7.5569643042091217</v>
      </c>
      <c r="AE80" s="18">
        <f t="shared" si="27"/>
        <v>6.4551851598334737</v>
      </c>
      <c r="AF80" s="20">
        <f t="shared" si="41"/>
        <v>7006.0747320212977</v>
      </c>
      <c r="AG80" s="20">
        <f>(SUM(AF$3:AF80)/($B80-$B$3+1))</f>
        <v>5175.7164938561855</v>
      </c>
      <c r="AH80" s="22">
        <f>SUM(AF$3:AF80)/1000</f>
        <v>403.70588652078249</v>
      </c>
      <c r="AI80" s="20">
        <v>2640.677879483123</v>
      </c>
      <c r="AJ80" s="20">
        <f>(SUM(AI$3:AI80)/($B80-$B$3+1))</f>
        <v>2587.8081630296315</v>
      </c>
      <c r="AK80" s="21">
        <f>SUM(AI$3:AI80)/1000</f>
        <v>201.84903671631125</v>
      </c>
      <c r="AL80" s="23">
        <f t="shared" si="52"/>
        <v>2.1041138467797911</v>
      </c>
      <c r="AM80" s="23">
        <f t="shared" si="53"/>
        <v>2.2747049126610044</v>
      </c>
      <c r="AN80" s="24">
        <f t="shared" si="42"/>
        <v>0.73074273936245215</v>
      </c>
      <c r="AO80" s="24">
        <f t="shared" si="43"/>
        <v>0.78998771937319612</v>
      </c>
      <c r="AP80" s="24">
        <f t="shared" si="56"/>
        <v>0.76036522936782414</v>
      </c>
      <c r="AQ80" s="24">
        <f>(SUM(AP$3:AP80)/($B80-$B$3+1))</f>
        <v>1.0050985184492052</v>
      </c>
      <c r="AR80" s="21">
        <f t="shared" si="28"/>
        <v>20.912042471469245</v>
      </c>
      <c r="AS80" s="21">
        <f t="shared" si="28"/>
        <v>19.311393646947607</v>
      </c>
      <c r="AT80" s="21">
        <f t="shared" si="57"/>
        <v>20.111718059208428</v>
      </c>
      <c r="AU80" s="21">
        <f>(SUM(AT$3:AT80)/($B80-$B$3+1))</f>
        <v>19.221784934417339</v>
      </c>
      <c r="AV80" s="22">
        <f>SUM(AT$3:AT80)/1000</f>
        <v>1.4992992248845523</v>
      </c>
    </row>
    <row r="81" spans="1:48" ht="15.6">
      <c r="A81" s="17" t="s">
        <v>63</v>
      </c>
      <c r="B81" s="17">
        <v>138</v>
      </c>
      <c r="C81" s="18">
        <f t="shared" si="33"/>
        <v>95.51812939569912</v>
      </c>
      <c r="D81" s="18">
        <f t="shared" si="34"/>
        <v>89.708830406204243</v>
      </c>
      <c r="E81" s="18">
        <f t="shared" si="44"/>
        <v>92.613479900951688</v>
      </c>
      <c r="F81" s="19">
        <f t="shared" si="54"/>
        <v>1.0340435514264215</v>
      </c>
      <c r="G81" s="19">
        <f t="shared" si="54"/>
        <v>0.9489946894384218</v>
      </c>
      <c r="H81" s="19">
        <f t="shared" si="45"/>
        <v>0.99151912043242163</v>
      </c>
      <c r="I81" s="19">
        <f>(SUM(H$3:H81)/($B81-$B$3+1))</f>
        <v>0.90844900550472429</v>
      </c>
      <c r="J81" s="19"/>
      <c r="K81" s="19">
        <f t="shared" si="46"/>
        <v>2.8699384163116406</v>
      </c>
      <c r="L81" s="19">
        <f t="shared" si="47"/>
        <v>2.4543112939696892</v>
      </c>
      <c r="M81" s="19">
        <f t="shared" si="48"/>
        <v>2.6621248551406649</v>
      </c>
      <c r="N81" s="19">
        <f>(SUM(M$3:M81)/($B81-$B$3+1))</f>
        <v>2.0027917944319871</v>
      </c>
      <c r="O81" s="19">
        <f t="shared" si="35"/>
        <v>2.7754521677086772</v>
      </c>
      <c r="P81" s="19">
        <f t="shared" si="36"/>
        <v>2.5862223690862329</v>
      </c>
      <c r="Q81" s="19">
        <f t="shared" si="49"/>
        <v>2.6808372683974548</v>
      </c>
      <c r="R81" s="19">
        <f>(SUM(Q$3:Q81)/($B81-$B$3+1))</f>
        <v>2.1694326793328487</v>
      </c>
      <c r="S81" s="19">
        <f t="shared" si="37"/>
        <v>9.7430014337620214</v>
      </c>
      <c r="T81" s="19">
        <f t="shared" si="38"/>
        <v>8.877069308386071</v>
      </c>
      <c r="U81" s="19">
        <f t="shared" si="55"/>
        <v>9.3100353710740471</v>
      </c>
      <c r="V81" s="19">
        <f>(SUM(U$3:U81)/($B81-$B$3+1))</f>
        <v>7.3956854351051184</v>
      </c>
      <c r="W81" s="18">
        <f t="shared" si="50"/>
        <v>10.074687804119996</v>
      </c>
      <c r="X81" s="18">
        <f t="shared" si="51"/>
        <v>8.4242916314351852</v>
      </c>
      <c r="Y81" s="20">
        <f t="shared" si="39"/>
        <v>9249.4897177775911</v>
      </c>
      <c r="Z81" s="20">
        <f>(SUM(Y$3:Y81)/($B81-$B$3+1))</f>
        <v>6837.8336505157158</v>
      </c>
      <c r="AA81" s="21">
        <f>SUM(Y$3:Y81)/1000</f>
        <v>540.18885839074153</v>
      </c>
      <c r="AB81" s="20">
        <f t="shared" si="40"/>
        <v>3474.4763003570147</v>
      </c>
      <c r="AC81" s="20">
        <f>(SUM(AB$3:AB81)/($B81-$B$3+1))</f>
        <v>3404.2914290059912</v>
      </c>
      <c r="AD81" s="18">
        <f t="shared" si="27"/>
        <v>7.5819703937607308</v>
      </c>
      <c r="AE81" s="18">
        <f t="shared" si="27"/>
        <v>6.4839424644748593</v>
      </c>
      <c r="AF81" s="20">
        <f t="shared" si="41"/>
        <v>7032.9564291177949</v>
      </c>
      <c r="AG81" s="20">
        <f>(SUM(AF$3:AF81)/($B81-$B$3+1))</f>
        <v>5199.2258601253197</v>
      </c>
      <c r="AH81" s="22">
        <f>SUM(AF$3:AF81)/1000</f>
        <v>410.73884294990023</v>
      </c>
      <c r="AI81" s="20">
        <v>2641.8582192104504</v>
      </c>
      <c r="AJ81" s="20">
        <f>(SUM(AI$3:AI81)/($B81-$B$3+1))</f>
        <v>2588.4923409559706</v>
      </c>
      <c r="AK81" s="21">
        <f>SUM(AI$3:AI81)/1000</f>
        <v>204.49089493552168</v>
      </c>
      <c r="AL81" s="23">
        <f t="shared" si="52"/>
        <v>2.091254470711843</v>
      </c>
      <c r="AM81" s="23">
        <f t="shared" si="53"/>
        <v>2.2626408560652473</v>
      </c>
      <c r="AN81" s="24">
        <f t="shared" si="42"/>
        <v>0.7266014096503951</v>
      </c>
      <c r="AO81" s="24">
        <f t="shared" si="43"/>
        <v>0.7861492030618209</v>
      </c>
      <c r="AP81" s="24">
        <f t="shared" si="56"/>
        <v>0.75637530635610806</v>
      </c>
      <c r="AQ81" s="24">
        <f>(SUM(AP$3:AP81)/($B81-$B$3+1))</f>
        <v>1.001950123359419</v>
      </c>
      <c r="AR81" s="21">
        <f t="shared" si="28"/>
        <v>20.853012989018605</v>
      </c>
      <c r="AS81" s="21">
        <f t="shared" si="28"/>
        <v>19.294548678198975</v>
      </c>
      <c r="AT81" s="21">
        <f t="shared" si="57"/>
        <v>20.07378083360879</v>
      </c>
      <c r="AU81" s="21">
        <f>(SUM(AT$3:AT81)/($B81-$B$3+1))</f>
        <v>19.23256969263495</v>
      </c>
      <c r="AV81" s="22">
        <f>SUM(AT$3:AT81)/1000</f>
        <v>1.5193730057181611</v>
      </c>
    </row>
    <row r="82" spans="1:48" ht="15.6">
      <c r="A82" s="17" t="s">
        <v>63</v>
      </c>
      <c r="B82" s="17">
        <v>139</v>
      </c>
      <c r="C82" s="18">
        <f t="shared" si="33"/>
        <v>96.552172947125541</v>
      </c>
      <c r="D82" s="18">
        <f t="shared" si="34"/>
        <v>90.657825095642664</v>
      </c>
      <c r="E82" s="18">
        <f t="shared" si="44"/>
        <v>93.604999021384103</v>
      </c>
      <c r="F82" s="19">
        <f t="shared" si="54"/>
        <v>1.0326035308412713</v>
      </c>
      <c r="G82" s="19">
        <f t="shared" si="54"/>
        <v>0.94818060655428837</v>
      </c>
      <c r="H82" s="19">
        <f t="shared" si="45"/>
        <v>0.99039206869777985</v>
      </c>
      <c r="I82" s="19">
        <f>(SUM(H$3:H82)/($B82-$B$3+1))</f>
        <v>0.90947329379463748</v>
      </c>
      <c r="J82" s="19"/>
      <c r="K82" s="19">
        <f t="shared" si="46"/>
        <v>2.8778304953735456</v>
      </c>
      <c r="L82" s="19">
        <f t="shared" si="47"/>
        <v>2.4639470139519668</v>
      </c>
      <c r="M82" s="19">
        <f t="shared" si="48"/>
        <v>2.670888754662756</v>
      </c>
      <c r="N82" s="19">
        <f>(SUM(M$3:M82)/($B82-$B$3+1))</f>
        <v>2.0111430064348719</v>
      </c>
      <c r="O82" s="19">
        <f t="shared" si="35"/>
        <v>2.7869655772229942</v>
      </c>
      <c r="P82" s="19">
        <f t="shared" si="36"/>
        <v>2.5986051569922011</v>
      </c>
      <c r="Q82" s="19">
        <f t="shared" si="49"/>
        <v>2.6927853671075974</v>
      </c>
      <c r="R82" s="19">
        <f>(SUM(Q$3:Q82)/($B82-$B$3+1))</f>
        <v>2.1759745879300332</v>
      </c>
      <c r="S82" s="19">
        <f t="shared" si="37"/>
        <v>9.7885560125287085</v>
      </c>
      <c r="T82" s="19">
        <f t="shared" si="38"/>
        <v>8.9227297439398381</v>
      </c>
      <c r="U82" s="19">
        <f t="shared" si="55"/>
        <v>9.3556428782342742</v>
      </c>
      <c r="V82" s="19">
        <f>(SUM(U$3:U82)/($B82-$B$3+1))</f>
        <v>7.4201849031442322</v>
      </c>
      <c r="W82" s="18">
        <f t="shared" si="50"/>
        <v>10.1076975003747</v>
      </c>
      <c r="X82" s="18">
        <f t="shared" si="51"/>
        <v>8.4603593007288662</v>
      </c>
      <c r="Y82" s="20">
        <f t="shared" si="39"/>
        <v>9284.0284005517824</v>
      </c>
      <c r="Z82" s="20">
        <f>(SUM(Y$3:Y82)/($B82-$B$3+1))</f>
        <v>6868.411084891166</v>
      </c>
      <c r="AA82" s="21">
        <f>SUM(Y$3:Y82)/1000</f>
        <v>549.47288679129326</v>
      </c>
      <c r="AB82" s="20">
        <f t="shared" si="40"/>
        <v>3476.0071471879946</v>
      </c>
      <c r="AC82" s="20">
        <f>(SUM(AB$3:AB82)/($B82-$B$3+1))</f>
        <v>3405.1878754832665</v>
      </c>
      <c r="AD82" s="18">
        <f t="shared" si="27"/>
        <v>7.6061699340025521</v>
      </c>
      <c r="AE82" s="18">
        <f t="shared" si="27"/>
        <v>6.5122666976479406</v>
      </c>
      <c r="AF82" s="20">
        <f t="shared" si="41"/>
        <v>7059.2183158252465</v>
      </c>
      <c r="AG82" s="20">
        <f>(SUM(AF$3:AF82)/($B82-$B$3+1))</f>
        <v>5222.4757658215694</v>
      </c>
      <c r="AH82" s="22">
        <f>SUM(AF$3:AF82)/1000</f>
        <v>417.79806126572555</v>
      </c>
      <c r="AI82" s="20">
        <v>2643.0222162946616</v>
      </c>
      <c r="AJ82" s="20">
        <f>(SUM(AI$3:AI82)/($B82-$B$3+1))</f>
        <v>2589.1739643977044</v>
      </c>
      <c r="AK82" s="21">
        <f>SUM(AI$3:AI82)/1000</f>
        <v>207.13391715181635</v>
      </c>
      <c r="AL82" s="23">
        <f t="shared" si="52"/>
        <v>2.0787237173793249</v>
      </c>
      <c r="AM82" s="23">
        <f t="shared" si="53"/>
        <v>2.2509364194867212</v>
      </c>
      <c r="AN82" s="24">
        <f t="shared" si="42"/>
        <v>0.7225658498639731</v>
      </c>
      <c r="AO82" s="24">
        <f t="shared" si="43"/>
        <v>0.7824271082001597</v>
      </c>
      <c r="AP82" s="24">
        <f t="shared" si="56"/>
        <v>0.7524964790320664</v>
      </c>
      <c r="AQ82" s="24">
        <f>(SUM(AP$3:AP82)/($B82-$B$3+1))</f>
        <v>0.99883195280532711</v>
      </c>
      <c r="AR82" s="21">
        <f t="shared" si="28"/>
        <v>20.794220376540448</v>
      </c>
      <c r="AS82" s="21">
        <f t="shared" si="28"/>
        <v>19.278589368848561</v>
      </c>
      <c r="AT82" s="21">
        <f t="shared" si="57"/>
        <v>20.036404872694504</v>
      </c>
      <c r="AU82" s="21">
        <f>(SUM(AT$3:AT82)/($B82-$B$3+1))</f>
        <v>19.242617632385695</v>
      </c>
      <c r="AV82" s="22">
        <f>SUM(AT$3:AT82)/1000</f>
        <v>1.5394094105908556</v>
      </c>
    </row>
    <row r="83" spans="1:48" ht="15.6">
      <c r="A83" s="17" t="s">
        <v>63</v>
      </c>
      <c r="B83" s="17">
        <v>140</v>
      </c>
      <c r="C83" s="18">
        <f t="shared" si="33"/>
        <v>97.584776477966813</v>
      </c>
      <c r="D83" s="18">
        <f t="shared" si="34"/>
        <v>91.606005702196953</v>
      </c>
      <c r="E83" s="18">
        <f t="shared" si="44"/>
        <v>94.595391090081876</v>
      </c>
      <c r="F83" s="19">
        <f t="shared" si="54"/>
        <v>1.0310626194463168</v>
      </c>
      <c r="G83" s="19">
        <f t="shared" si="54"/>
        <v>0.94728675118186345</v>
      </c>
      <c r="H83" s="19">
        <f t="shared" si="45"/>
        <v>0.98917468531409014</v>
      </c>
      <c r="I83" s="19">
        <f>(SUM(H$3:H83)/($B83-$B$3+1))</f>
        <v>0.91045726159117391</v>
      </c>
      <c r="J83" s="19"/>
      <c r="K83" s="19">
        <f t="shared" si="46"/>
        <v>2.8854367458033554</v>
      </c>
      <c r="L83" s="19">
        <f t="shared" si="47"/>
        <v>2.4734274956061255</v>
      </c>
      <c r="M83" s="19">
        <f t="shared" si="48"/>
        <v>2.6794321207047407</v>
      </c>
      <c r="N83" s="19">
        <f>(SUM(M$3:M83)/($B83-$B$3+1))</f>
        <v>2.0193934893270926</v>
      </c>
      <c r="O83" s="19">
        <f t="shared" si="35"/>
        <v>2.7985077641092664</v>
      </c>
      <c r="P83" s="19">
        <f t="shared" si="36"/>
        <v>2.6110652265749552</v>
      </c>
      <c r="Q83" s="19">
        <f t="shared" si="49"/>
        <v>2.7047864953421108</v>
      </c>
      <c r="R83" s="19">
        <f>(SUM(Q$3:Q83)/($B83-$B$3+1))</f>
        <v>2.1825031299968494</v>
      </c>
      <c r="S83" s="19">
        <f t="shared" si="37"/>
        <v>9.8341823454432031</v>
      </c>
      <c r="T83" s="19">
        <f t="shared" si="38"/>
        <v>8.9686466865772623</v>
      </c>
      <c r="U83" s="19">
        <f t="shared" si="55"/>
        <v>9.4014145160102327</v>
      </c>
      <c r="V83" s="19">
        <f>(SUM(U$3:U83)/($B83-$B$3+1))</f>
        <v>7.4446445279944307</v>
      </c>
      <c r="W83" s="18">
        <f t="shared" si="50"/>
        <v>10.139657809205392</v>
      </c>
      <c r="X83" s="18">
        <f t="shared" si="51"/>
        <v>8.4958801822257595</v>
      </c>
      <c r="Y83" s="20">
        <f t="shared" si="39"/>
        <v>9317.7689957155744</v>
      </c>
      <c r="Z83" s="20">
        <f>(SUM(Y$3:Y83)/($B83-$B$3+1))</f>
        <v>6898.6500714445529</v>
      </c>
      <c r="AA83" s="21">
        <f>SUM(Y$3:Y83)/1000</f>
        <v>558.79065578700886</v>
      </c>
      <c r="AB83" s="20">
        <f t="shared" si="40"/>
        <v>3477.516345241404</v>
      </c>
      <c r="AC83" s="20">
        <f>(SUM(AB$3:AB83)/($B83-$B$3+1))</f>
        <v>3406.0808195543545</v>
      </c>
      <c r="AD83" s="18">
        <f t="shared" ref="AD83:AE143" si="58">$AI83*K83/1000</f>
        <v>7.629584565949262</v>
      </c>
      <c r="AE83" s="18">
        <f t="shared" si="58"/>
        <v>6.5401621688355389</v>
      </c>
      <c r="AF83" s="20">
        <f t="shared" si="41"/>
        <v>7084.8733673924007</v>
      </c>
      <c r="AG83" s="20">
        <f>(SUM(AF$3:AF83)/($B83-$B$3+1))</f>
        <v>5245.468328803925</v>
      </c>
      <c r="AH83" s="22">
        <f>SUM(AF$3:AF83)/1000</f>
        <v>424.88293463311794</v>
      </c>
      <c r="AI83" s="20">
        <v>2644.1697524805918</v>
      </c>
      <c r="AJ83" s="20">
        <f>(SUM(AI$3:AI83)/($B83-$B$3+1))</f>
        <v>2589.8529247444062</v>
      </c>
      <c r="AK83" s="21">
        <f>SUM(AI$3:AI83)/1000</f>
        <v>209.77808690429691</v>
      </c>
      <c r="AL83" s="23">
        <f t="shared" si="52"/>
        <v>2.0665215785909767</v>
      </c>
      <c r="AM83" s="23">
        <f t="shared" si="53"/>
        <v>2.239591748501554</v>
      </c>
      <c r="AN83" s="24">
        <f t="shared" si="42"/>
        <v>0.718636256734419</v>
      </c>
      <c r="AO83" s="24">
        <f t="shared" si="43"/>
        <v>0.77882169120819289</v>
      </c>
      <c r="AP83" s="24">
        <f t="shared" si="56"/>
        <v>0.74872897397130589</v>
      </c>
      <c r="AQ83" s="24">
        <f>(SUM(AP$3:AP83)/($B83-$B$3+1))</f>
        <v>0.99574426170861086</v>
      </c>
      <c r="AR83" s="21">
        <f t="shared" ref="AR83:AS143" si="59">AN83*10*K83</f>
        <v>20.735794620480668</v>
      </c>
      <c r="AS83" s="21">
        <f t="shared" si="59"/>
        <v>19.263589852088078</v>
      </c>
      <c r="AT83" s="21">
        <f t="shared" si="57"/>
        <v>19.999692236284375</v>
      </c>
      <c r="AU83" s="21">
        <f>(SUM(AT$3:AT83)/($B83-$B$3+1))</f>
        <v>19.251964232433824</v>
      </c>
      <c r="AV83" s="22">
        <f>SUM(AT$3:AT83)/1000</f>
        <v>1.5594091028271397</v>
      </c>
    </row>
    <row r="84" spans="1:48" ht="15.6">
      <c r="A84" s="17" t="s">
        <v>63</v>
      </c>
      <c r="B84" s="17">
        <v>141</v>
      </c>
      <c r="C84" s="18">
        <f t="shared" si="33"/>
        <v>98.615839097413129</v>
      </c>
      <c r="D84" s="18">
        <f t="shared" si="34"/>
        <v>92.553292453378816</v>
      </c>
      <c r="E84" s="18">
        <f t="shared" si="44"/>
        <v>95.584565775395973</v>
      </c>
      <c r="F84" s="19">
        <f t="shared" si="54"/>
        <v>1.0294228995889512</v>
      </c>
      <c r="G84" s="19">
        <f t="shared" si="54"/>
        <v>0.94631457117765194</v>
      </c>
      <c r="H84" s="19">
        <f t="shared" si="45"/>
        <v>0.98786873538330155</v>
      </c>
      <c r="I84" s="19">
        <f>(SUM(H$3:H84)/($B84-$B$3+1))</f>
        <v>0.91140130395449248</v>
      </c>
      <c r="J84" s="19"/>
      <c r="K84" s="19">
        <f t="shared" si="46"/>
        <v>2.892765881764686</v>
      </c>
      <c r="L84" s="19">
        <f t="shared" si="47"/>
        <v>2.4827548637535637</v>
      </c>
      <c r="M84" s="19">
        <f t="shared" si="48"/>
        <v>2.6877603727591248</v>
      </c>
      <c r="N84" s="19">
        <f>(SUM(M$3:M84)/($B84-$B$3+1))</f>
        <v>2.027544304978703</v>
      </c>
      <c r="O84" s="19">
        <f t="shared" si="35"/>
        <v>2.8100850320308282</v>
      </c>
      <c r="P84" s="19">
        <f t="shared" si="36"/>
        <v>2.6236041791725464</v>
      </c>
      <c r="Q84" s="19">
        <f t="shared" si="49"/>
        <v>2.7168446056016871</v>
      </c>
      <c r="R84" s="19">
        <f>(SUM(Q$3:Q84)/($B84-$B$3+1))</f>
        <v>2.1890194894554447</v>
      </c>
      <c r="S84" s="19">
        <f t="shared" si="37"/>
        <v>9.8799006380607928</v>
      </c>
      <c r="T84" s="19">
        <f t="shared" si="38"/>
        <v>9.0148257424875933</v>
      </c>
      <c r="U84" s="19">
        <f t="shared" si="55"/>
        <v>9.4473631902741921</v>
      </c>
      <c r="V84" s="19">
        <f>(SUM(U$3:U84)/($B84-$B$3+1))</f>
        <v>7.4690679263149162</v>
      </c>
      <c r="W84" s="18">
        <f t="shared" si="50"/>
        <v>10.17059596248327</v>
      </c>
      <c r="X84" s="18">
        <f t="shared" si="51"/>
        <v>8.5308609567434051</v>
      </c>
      <c r="Y84" s="20">
        <f t="shared" si="39"/>
        <v>9350.7284596133377</v>
      </c>
      <c r="Z84" s="20">
        <f>(SUM(Y$3:Y84)/($B84-$B$3+1))</f>
        <v>6928.5534664222205</v>
      </c>
      <c r="AA84" s="21">
        <f>SUM(Y$3:Y84)/1000</f>
        <v>568.14138424662212</v>
      </c>
      <c r="AB84" s="20">
        <f t="shared" si="40"/>
        <v>3479.0037662525442</v>
      </c>
      <c r="AC84" s="20">
        <f>(SUM(AB$3:AB84)/($B84-$B$3+1))</f>
        <v>3406.9701237823811</v>
      </c>
      <c r="AD84" s="18">
        <f t="shared" si="58"/>
        <v>7.6522356994474894</v>
      </c>
      <c r="AE84" s="18">
        <f t="shared" si="58"/>
        <v>6.5676332540959361</v>
      </c>
      <c r="AF84" s="20">
        <f t="shared" si="41"/>
        <v>7109.934476771713</v>
      </c>
      <c r="AG84" s="20">
        <f>(SUM(AF$3:AF84)/($B84-$B$3+1))</f>
        <v>5268.2057208523129</v>
      </c>
      <c r="AH84" s="22">
        <f>SUM(AF$3:AF84)/1000</f>
        <v>431.99286910988968</v>
      </c>
      <c r="AI84" s="20">
        <v>2645.3007302406941</v>
      </c>
      <c r="AJ84" s="20">
        <f>(SUM(AI$3:AI84)/($B84-$B$3+1))</f>
        <v>2590.5291174943613</v>
      </c>
      <c r="AK84" s="21">
        <f>SUM(AI$3:AI84)/1000</f>
        <v>212.42338763453762</v>
      </c>
      <c r="AL84" s="23">
        <f t="shared" si="52"/>
        <v>2.0546479001346527</v>
      </c>
      <c r="AM84" s="23">
        <f t="shared" si="53"/>
        <v>2.2286068530645071</v>
      </c>
      <c r="AN84" s="24">
        <f t="shared" si="42"/>
        <v>0.71481277828913381</v>
      </c>
      <c r="AO84" s="24">
        <f t="shared" si="43"/>
        <v>0.77533316353076498</v>
      </c>
      <c r="AP84" s="24">
        <f t="shared" si="56"/>
        <v>0.74507297090994939</v>
      </c>
      <c r="AQ84" s="24">
        <f>(SUM(AP$3:AP84)/($B84-$B$3+1))</f>
        <v>0.99268729474765149</v>
      </c>
      <c r="AR84" s="21">
        <f t="shared" si="59"/>
        <v>20.677860168842312</v>
      </c>
      <c r="AS84" s="21">
        <f t="shared" si="59"/>
        <v>19.249621827854437</v>
      </c>
      <c r="AT84" s="21">
        <f t="shared" si="57"/>
        <v>19.963740998348374</v>
      </c>
      <c r="AU84" s="21">
        <f>(SUM(AT$3:AT84)/($B84-$B$3+1))</f>
        <v>19.260644436896197</v>
      </c>
      <c r="AV84" s="22">
        <f>SUM(AT$3:AT84)/1000</f>
        <v>1.5793728438254881</v>
      </c>
    </row>
    <row r="85" spans="1:48" ht="15.6">
      <c r="A85" s="17" t="s">
        <v>63</v>
      </c>
      <c r="B85" s="17">
        <v>142</v>
      </c>
      <c r="C85" s="18">
        <f t="shared" si="33"/>
        <v>99.645261997002081</v>
      </c>
      <c r="D85" s="18">
        <f t="shared" si="34"/>
        <v>93.499607024556468</v>
      </c>
      <c r="E85" s="18">
        <f t="shared" si="44"/>
        <v>96.572434510779274</v>
      </c>
      <c r="F85" s="19">
        <f t="shared" si="54"/>
        <v>1.0276864483541175</v>
      </c>
      <c r="G85" s="19">
        <f t="shared" si="54"/>
        <v>0.94526551025796834</v>
      </c>
      <c r="H85" s="19">
        <f t="shared" si="45"/>
        <v>0.98647597930604292</v>
      </c>
      <c r="I85" s="19">
        <f>(SUM(H$3:H85)/($B85-$B$3+1))</f>
        <v>0.91230581811535461</v>
      </c>
      <c r="J85" s="19"/>
      <c r="K85" s="19">
        <f t="shared" si="46"/>
        <v>2.8998264748389193</v>
      </c>
      <c r="L85" s="19">
        <f t="shared" si="47"/>
        <v>2.4919312396110085</v>
      </c>
      <c r="M85" s="19">
        <f t="shared" si="48"/>
        <v>2.6958788572249639</v>
      </c>
      <c r="N85" s="19">
        <f>(SUM(M$3:M85)/($B85-$B$3+1))</f>
        <v>2.0355965284997422</v>
      </c>
      <c r="O85" s="19">
        <f t="shared" si="35"/>
        <v>2.8217035258984993</v>
      </c>
      <c r="P85" s="19">
        <f t="shared" si="36"/>
        <v>2.6362235928093329</v>
      </c>
      <c r="Q85" s="19">
        <f t="shared" si="49"/>
        <v>2.7289635593539163</v>
      </c>
      <c r="R85" s="19">
        <f>(SUM(Q$3:Q85)/($B85-$B$3+1))</f>
        <v>2.1955248396951856</v>
      </c>
      <c r="S85" s="19">
        <f t="shared" si="37"/>
        <v>9.9257306908231744</v>
      </c>
      <c r="T85" s="19">
        <f t="shared" si="38"/>
        <v>9.0612724460500669</v>
      </c>
      <c r="U85" s="19">
        <f t="shared" si="55"/>
        <v>9.4935015684366206</v>
      </c>
      <c r="V85" s="19">
        <f>(SUM(U$3:U85)/($B85-$B$3+1))</f>
        <v>7.493458693087466</v>
      </c>
      <c r="W85" s="18">
        <f t="shared" si="50"/>
        <v>10.200538920971528</v>
      </c>
      <c r="X85" s="18">
        <f t="shared" si="51"/>
        <v>8.5653083223019859</v>
      </c>
      <c r="Y85" s="20">
        <f t="shared" si="39"/>
        <v>9382.9236216367553</v>
      </c>
      <c r="Z85" s="20">
        <f>(SUM(Y$3:Y85)/($B85-$B$3+1))</f>
        <v>6958.1241911838406</v>
      </c>
      <c r="AA85" s="21">
        <f>SUM(Y$3:Y85)/1000</f>
        <v>577.5243078682588</v>
      </c>
      <c r="AB85" s="20">
        <f t="shared" si="40"/>
        <v>3480.4693083632042</v>
      </c>
      <c r="AC85" s="20">
        <f>(SUM(AB$3:AB85)/($B85-$B$3+1))</f>
        <v>3407.8556561267287</v>
      </c>
      <c r="AD85" s="18">
        <f t="shared" si="58"/>
        <v>7.6741444895634361</v>
      </c>
      <c r="AE85" s="18">
        <f t="shared" si="58"/>
        <v>6.5946843912079531</v>
      </c>
      <c r="AF85" s="20">
        <f t="shared" si="41"/>
        <v>7134.4144403856944</v>
      </c>
      <c r="AG85" s="20">
        <f>(SUM(AF$3:AF85)/($B85-$B$3+1))</f>
        <v>5290.6901632563295</v>
      </c>
      <c r="AH85" s="22">
        <f>SUM(AF$3:AF85)/1000</f>
        <v>439.12728355027537</v>
      </c>
      <c r="AI85" s="20">
        <v>2646.4150721259011</v>
      </c>
      <c r="AJ85" s="20">
        <f>(SUM(AI$3:AI85)/($B85-$B$3+1))</f>
        <v>2591.2024422489581</v>
      </c>
      <c r="AK85" s="21">
        <f>SUM(AI$3:AI85)/1000</f>
        <v>215.06980270666352</v>
      </c>
      <c r="AL85" s="23">
        <f t="shared" si="52"/>
        <v>2.043102385402336</v>
      </c>
      <c r="AM85" s="23">
        <f t="shared" si="53"/>
        <v>2.2179816104880494</v>
      </c>
      <c r="AN85" s="24">
        <f t="shared" si="42"/>
        <v>0.71109551462364817</v>
      </c>
      <c r="AO85" s="24">
        <f t="shared" si="43"/>
        <v>0.77196169218176469</v>
      </c>
      <c r="AP85" s="24">
        <f t="shared" si="56"/>
        <v>0.74152860340270643</v>
      </c>
      <c r="AQ85" s="24">
        <f>(SUM(AP$3:AP85)/($B85-$B$3+1))</f>
        <v>0.9896612864181944</v>
      </c>
      <c r="AR85" s="21">
        <f t="shared" si="59"/>
        <v>20.620535994448609</v>
      </c>
      <c r="AS85" s="21">
        <f t="shared" si="59"/>
        <v>19.236754565307166</v>
      </c>
      <c r="AT85" s="21">
        <f t="shared" si="57"/>
        <v>19.928645279877887</v>
      </c>
      <c r="AU85" s="21">
        <f>(SUM(AT$3:AT85)/($B85-$B$3+1))</f>
        <v>19.268692639823687</v>
      </c>
      <c r="AV85" s="22">
        <f>SUM(AT$3:AT85)/1000</f>
        <v>1.5993014891053661</v>
      </c>
    </row>
    <row r="86" spans="1:48" ht="15.6">
      <c r="A86" s="17" t="s">
        <v>63</v>
      </c>
      <c r="B86" s="17">
        <v>143</v>
      </c>
      <c r="C86" s="18">
        <f t="shared" si="33"/>
        <v>100.6729484453562</v>
      </c>
      <c r="D86" s="18">
        <f t="shared" si="34"/>
        <v>94.444872534814436</v>
      </c>
      <c r="E86" s="18">
        <f t="shared" si="44"/>
        <v>97.55891049008531</v>
      </c>
      <c r="F86" s="19">
        <f t="shared" si="54"/>
        <v>1.025855336440884</v>
      </c>
      <c r="G86" s="19">
        <f t="shared" si="54"/>
        <v>0.94414100740597462</v>
      </c>
      <c r="H86" s="19">
        <f t="shared" si="45"/>
        <v>0.98499817192342931</v>
      </c>
      <c r="I86" s="19">
        <f>(SUM(H$3:H86)/($B86-$B$3+1))</f>
        <v>0.91317120327973644</v>
      </c>
      <c r="J86" s="19"/>
      <c r="K86" s="19">
        <f t="shared" si="46"/>
        <v>2.9066269471263446</v>
      </c>
      <c r="L86" s="19">
        <f t="shared" si="47"/>
        <v>2.5009587393547017</v>
      </c>
      <c r="M86" s="19">
        <f t="shared" si="48"/>
        <v>2.7037928432405232</v>
      </c>
      <c r="N86" s="19">
        <f>(SUM(M$3:M86)/($B86-$B$3+1))</f>
        <v>2.0435512465323704</v>
      </c>
      <c r="O86" s="19">
        <f t="shared" si="35"/>
        <v>2.8333692323623665</v>
      </c>
      <c r="P86" s="19">
        <f t="shared" si="36"/>
        <v>2.6489250225727199</v>
      </c>
      <c r="Q86" s="19">
        <f t="shared" si="49"/>
        <v>2.741147127467543</v>
      </c>
      <c r="R86" s="19">
        <f>(SUM(Q$3:Q86)/($B86-$B$3+1))</f>
        <v>2.2020203431210468</v>
      </c>
      <c r="S86" s="19">
        <f t="shared" si="37"/>
        <v>9.9716918965114534</v>
      </c>
      <c r="T86" s="19">
        <f t="shared" si="38"/>
        <v>9.1079922607401382</v>
      </c>
      <c r="U86" s="19">
        <f t="shared" si="55"/>
        <v>9.5398420786257958</v>
      </c>
      <c r="V86" s="19">
        <f>(SUM(U$3:U86)/($B86-$B$3+1))</f>
        <v>7.5178204000581612</v>
      </c>
      <c r="W86" s="18">
        <f t="shared" si="50"/>
        <v>10.229513345380594</v>
      </c>
      <c r="X86" s="18">
        <f t="shared" si="51"/>
        <v>8.5992289885010145</v>
      </c>
      <c r="Y86" s="20">
        <f t="shared" si="39"/>
        <v>9414.371166940804</v>
      </c>
      <c r="Z86" s="20">
        <f>(SUM(Y$3:Y86)/($B86-$B$3+1))</f>
        <v>6987.3652266095187</v>
      </c>
      <c r="AA86" s="21">
        <f>SUM(Y$3:Y86)/1000</f>
        <v>586.93867903519958</v>
      </c>
      <c r="AB86" s="20">
        <f t="shared" si="40"/>
        <v>3481.9128952414803</v>
      </c>
      <c r="AC86" s="20">
        <f>(SUM(AB$3:AB86)/($B86-$B$3+1))</f>
        <v>3408.7372899257134</v>
      </c>
      <c r="AD86" s="18">
        <f t="shared" si="58"/>
        <v>7.6953318150918664</v>
      </c>
      <c r="AE86" s="18">
        <f t="shared" si="58"/>
        <v>6.6213200748777465</v>
      </c>
      <c r="AF86" s="20">
        <f t="shared" si="41"/>
        <v>7158.3259449848065</v>
      </c>
      <c r="AG86" s="20">
        <f>(SUM(AF$3:AF86)/($B86-$B$3+1))</f>
        <v>5312.9239225626206</v>
      </c>
      <c r="AH86" s="22">
        <f>SUM(AF$3:AF86)/1000</f>
        <v>446.28560949526019</v>
      </c>
      <c r="AI86" s="20">
        <v>2647.5127200963666</v>
      </c>
      <c r="AJ86" s="20">
        <f>(SUM(AI$3:AI86)/($B86-$B$3+1))</f>
        <v>2591.8728026995223</v>
      </c>
      <c r="AK86" s="21">
        <f>SUM(AI$3:AI86)/1000</f>
        <v>217.71731542675988</v>
      </c>
      <c r="AL86" s="23">
        <f t="shared" si="52"/>
        <v>2.0318845990353358</v>
      </c>
      <c r="AM86" s="23">
        <f t="shared" si="53"/>
        <v>2.2077157684369531</v>
      </c>
      <c r="AN86" s="24">
        <f t="shared" si="42"/>
        <v>0.70748451870237006</v>
      </c>
      <c r="AO86" s="24">
        <f t="shared" si="43"/>
        <v>0.76870740031485807</v>
      </c>
      <c r="AP86" s="24">
        <f t="shared" si="56"/>
        <v>0.73809595950861406</v>
      </c>
      <c r="AQ86" s="24">
        <f>(SUM(AP$3:AP86)/($B86-$B$3+1))</f>
        <v>0.98666646109784228</v>
      </c>
      <c r="AR86" s="21">
        <f t="shared" si="59"/>
        <v>20.563935667350211</v>
      </c>
      <c r="AS86" s="21">
        <f t="shared" si="59"/>
        <v>19.225054908240775</v>
      </c>
      <c r="AT86" s="21">
        <f t="shared" si="57"/>
        <v>19.894495287795493</v>
      </c>
      <c r="AU86" s="21">
        <f>(SUM(AT$3:AT86)/($B86-$B$3+1))</f>
        <v>19.276142671347163</v>
      </c>
      <c r="AV86" s="22">
        <f>SUM(AT$3:AT86)/1000</f>
        <v>1.6191959843931616</v>
      </c>
    </row>
    <row r="87" spans="1:48" ht="15.6">
      <c r="A87" s="17" t="s">
        <v>63</v>
      </c>
      <c r="B87" s="17">
        <v>144</v>
      </c>
      <c r="C87" s="18">
        <f t="shared" si="33"/>
        <v>101.69880378179708</v>
      </c>
      <c r="D87" s="18">
        <f t="shared" si="34"/>
        <v>95.389013542220411</v>
      </c>
      <c r="E87" s="18">
        <f t="shared" si="44"/>
        <v>98.543908662008747</v>
      </c>
      <c r="F87" s="19">
        <f t="shared" si="54"/>
        <v>1.0239316270793495</v>
      </c>
      <c r="G87" s="19">
        <f t="shared" si="54"/>
        <v>0.94294249629876958</v>
      </c>
      <c r="H87" s="19">
        <f t="shared" si="45"/>
        <v>0.98343706168905953</v>
      </c>
      <c r="I87" s="19">
        <f>(SUM(H$3:H87)/($B87-$B$3+1))</f>
        <v>0.9139978604374932</v>
      </c>
      <c r="J87" s="19"/>
      <c r="K87" s="19">
        <f t="shared" si="46"/>
        <v>2.9131755651843272</v>
      </c>
      <c r="L87" s="19">
        <f t="shared" si="47"/>
        <v>2.5098394727608269</v>
      </c>
      <c r="M87" s="19">
        <f t="shared" si="48"/>
        <v>2.711507518972577</v>
      </c>
      <c r="N87" s="19">
        <f>(SUM(M$3:M87)/($B87-$B$3+1))</f>
        <v>2.0514095556199026</v>
      </c>
      <c r="O87" s="19">
        <f t="shared" si="35"/>
        <v>2.8450879806240921</v>
      </c>
      <c r="P87" s="19">
        <f t="shared" si="36"/>
        <v>2.6617100009941526</v>
      </c>
      <c r="Q87" s="19">
        <f t="shared" si="49"/>
        <v>2.7533989908091225</v>
      </c>
      <c r="R87" s="19">
        <f>(SUM(Q$3:Q87)/($B87-$B$3+1))</f>
        <v>2.2085071507409069</v>
      </c>
      <c r="S87" s="19">
        <f t="shared" si="37"/>
        <v>10.017803238674084</v>
      </c>
      <c r="T87" s="19">
        <f t="shared" si="38"/>
        <v>9.1549905800611615</v>
      </c>
      <c r="U87" s="19">
        <f t="shared" si="55"/>
        <v>9.5863969093676218</v>
      </c>
      <c r="V87" s="19">
        <f>(SUM(U$3:U87)/($B87-$B$3+1))</f>
        <v>7.5421565942853315</v>
      </c>
      <c r="W87" s="18">
        <f t="shared" si="50"/>
        <v>10.257545569936331</v>
      </c>
      <c r="X87" s="18">
        <f t="shared" si="51"/>
        <v>8.6326296711545929</v>
      </c>
      <c r="Y87" s="20">
        <f t="shared" si="39"/>
        <v>9445.0876205454606</v>
      </c>
      <c r="Z87" s="20">
        <f>(SUM(Y$3:Y87)/($B87-$B$3+1))</f>
        <v>7016.2796077146468</v>
      </c>
      <c r="AA87" s="21">
        <f>SUM(Y$3:Y87)/1000</f>
        <v>596.38376665574503</v>
      </c>
      <c r="AB87" s="20">
        <f t="shared" si="40"/>
        <v>3483.3344751794448</v>
      </c>
      <c r="AC87" s="20">
        <f>(SUM(AB$3:AB87)/($B87-$B$3+1))</f>
        <v>3409.614903869875</v>
      </c>
      <c r="AD87" s="18">
        <f t="shared" si="58"/>
        <v>7.7158182591051423</v>
      </c>
      <c r="AE87" s="18">
        <f t="shared" si="58"/>
        <v>6.6475448520128886</v>
      </c>
      <c r="AF87" s="20">
        <f t="shared" si="41"/>
        <v>7181.6815555590147</v>
      </c>
      <c r="AG87" s="20">
        <f>(SUM(AF$3:AF87)/($B87-$B$3+1))</f>
        <v>5334.9093064802264</v>
      </c>
      <c r="AH87" s="22">
        <f>SUM(AF$3:AF87)/1000</f>
        <v>453.4672910508192</v>
      </c>
      <c r="AI87" s="20">
        <v>2648.5936348353707</v>
      </c>
      <c r="AJ87" s="20">
        <f>(SUM(AI$3:AI87)/($B87-$B$3+1))</f>
        <v>2592.5401066070031</v>
      </c>
      <c r="AK87" s="21">
        <f>SUM(AI$3:AI87)/1000</f>
        <v>220.36590906159523</v>
      </c>
      <c r="AL87" s="23">
        <f t="shared" si="52"/>
        <v>2.0209939705847519</v>
      </c>
      <c r="AM87" s="23">
        <f t="shared" si="53"/>
        <v>2.197808947935092</v>
      </c>
      <c r="AN87" s="24">
        <f t="shared" si="42"/>
        <v>0.70397979718676595</v>
      </c>
      <c r="AO87" s="24">
        <f t="shared" si="43"/>
        <v>0.76557036782001719</v>
      </c>
      <c r="AP87" s="24">
        <f t="shared" si="56"/>
        <v>0.73477508250339163</v>
      </c>
      <c r="AQ87" s="24">
        <f>(SUM(AP$3:AP87)/($B87-$B$3+1))</f>
        <v>0.98370303311437812</v>
      </c>
      <c r="AR87" s="21">
        <f t="shared" si="59"/>
        <v>20.508167435479049</v>
      </c>
      <c r="AS87" s="21">
        <f t="shared" si="59"/>
        <v>19.214587283307043</v>
      </c>
      <c r="AT87" s="21">
        <f t="shared" si="57"/>
        <v>19.861377359393046</v>
      </c>
      <c r="AU87" s="21">
        <f>(SUM(AT$3:AT87)/($B87-$B$3+1))</f>
        <v>19.283027785324172</v>
      </c>
      <c r="AV87" s="22">
        <f>SUM(AT$3:AT87)/1000</f>
        <v>1.6390573617525548</v>
      </c>
    </row>
    <row r="88" spans="1:48" ht="15.6">
      <c r="A88" s="17" t="s">
        <v>63</v>
      </c>
      <c r="B88" s="17">
        <v>145</v>
      </c>
      <c r="C88" s="18">
        <f t="shared" si="33"/>
        <v>102.72273540887643</v>
      </c>
      <c r="D88" s="18">
        <f t="shared" si="34"/>
        <v>96.331956038519181</v>
      </c>
      <c r="E88" s="18">
        <f t="shared" si="44"/>
        <v>99.527345723697806</v>
      </c>
      <c r="F88" s="19">
        <f t="shared" si="54"/>
        <v>1.0219173749881634</v>
      </c>
      <c r="G88" s="19">
        <f t="shared" si="54"/>
        <v>0.94167140475397559</v>
      </c>
      <c r="H88" s="19">
        <f t="shared" si="45"/>
        <v>0.98179438987106948</v>
      </c>
      <c r="I88" s="19">
        <f>(SUM(H$3:H88)/($B88-$B$3+1))</f>
        <v>0.91478619217509294</v>
      </c>
      <c r="J88" s="19"/>
      <c r="K88" s="19">
        <f t="shared" si="46"/>
        <v>2.9194804347610321</v>
      </c>
      <c r="L88" s="19">
        <f t="shared" si="47"/>
        <v>2.5185755419198013</v>
      </c>
      <c r="M88" s="19">
        <f t="shared" si="48"/>
        <v>2.7190279883404167</v>
      </c>
      <c r="N88" s="19">
        <f>(SUM(M$3:M88)/($B88-$B$3+1))</f>
        <v>2.0591725606515365</v>
      </c>
      <c r="O88" s="19">
        <f t="shared" si="35"/>
        <v>2.8568654435441494</v>
      </c>
      <c r="P88" s="19">
        <f t="shared" si="36"/>
        <v>2.6745800384347587</v>
      </c>
      <c r="Q88" s="19">
        <f t="shared" si="49"/>
        <v>2.765722740989454</v>
      </c>
      <c r="R88" s="19">
        <f>(SUM(Q$3:Q88)/($B88-$B$3+1))</f>
        <v>2.2149864017903083</v>
      </c>
      <c r="S88" s="19">
        <f t="shared" si="37"/>
        <v>10.064083290965522</v>
      </c>
      <c r="T88" s="19">
        <f t="shared" si="38"/>
        <v>9.2022727285029529</v>
      </c>
      <c r="U88" s="19">
        <f t="shared" si="55"/>
        <v>9.6331780097342374</v>
      </c>
      <c r="V88" s="19">
        <f>(SUM(U$3:U88)/($B88-$B$3+1))</f>
        <v>7.5664707967905516</v>
      </c>
      <c r="W88" s="18">
        <f t="shared" si="50"/>
        <v>10.284661578365723</v>
      </c>
      <c r="X88" s="18">
        <f t="shared" si="51"/>
        <v>8.6655170871785749</v>
      </c>
      <c r="Y88" s="20">
        <f t="shared" si="39"/>
        <v>9475.0893327721496</v>
      </c>
      <c r="Z88" s="20">
        <f>(SUM(Y$3:Y88)/($B88-$B$3+1))</f>
        <v>7044.8704184711296</v>
      </c>
      <c r="AA88" s="21">
        <f>SUM(Y$3:Y88)/1000</f>
        <v>605.85885598851712</v>
      </c>
      <c r="AB88" s="20">
        <f t="shared" si="40"/>
        <v>3484.7340201729062</v>
      </c>
      <c r="AC88" s="20">
        <f>(SUM(AB$3:AB88)/($B88-$B$3+1))</f>
        <v>3410.4883819664219</v>
      </c>
      <c r="AD88" s="18">
        <f t="shared" si="58"/>
        <v>7.7356240914593721</v>
      </c>
      <c r="AE88" s="18">
        <f t="shared" si="58"/>
        <v>6.6733633170690778</v>
      </c>
      <c r="AF88" s="20">
        <f t="shared" si="41"/>
        <v>7204.493704264225</v>
      </c>
      <c r="AG88" s="20">
        <f>(SUM(AF$3:AF88)/($B88-$B$3+1))</f>
        <v>5356.6486599428308</v>
      </c>
      <c r="AH88" s="22">
        <f>SUM(AF$3:AF88)/1000</f>
        <v>460.67178475508342</v>
      </c>
      <c r="AI88" s="20">
        <v>2649.6577950496026</v>
      </c>
      <c r="AJ88" s="20">
        <f>(SUM(AI$3:AI88)/($B88-$B$3+1))</f>
        <v>2593.2042657749403</v>
      </c>
      <c r="AK88" s="21">
        <f>SUM(AI$3:AI88)/1000</f>
        <v>223.01556685664485</v>
      </c>
      <c r="AL88" s="23">
        <f t="shared" si="52"/>
        <v>2.0104297981824373</v>
      </c>
      <c r="AM88" s="23">
        <f t="shared" si="53"/>
        <v>2.1882606463812415</v>
      </c>
      <c r="AN88" s="24">
        <f t="shared" si="42"/>
        <v>0.70058131128956891</v>
      </c>
      <c r="AO88" s="24">
        <f t="shared" si="43"/>
        <v>0.76255063194502659</v>
      </c>
      <c r="AP88" s="24">
        <f t="shared" si="56"/>
        <v>0.73156597161729775</v>
      </c>
      <c r="AQ88" s="24">
        <f>(SUM(AP$3:AP88)/($B88-$B$3+1))</f>
        <v>0.98077120681790042</v>
      </c>
      <c r="AR88" s="21">
        <f t="shared" si="59"/>
        <v>20.453334312691247</v>
      </c>
      <c r="AS88" s="21">
        <f t="shared" si="59"/>
        <v>19.205413710922322</v>
      </c>
      <c r="AT88" s="21">
        <f t="shared" si="57"/>
        <v>19.829374011806784</v>
      </c>
      <c r="AU88" s="21">
        <f>(SUM(AT$3:AT88)/($B88-$B$3+1))</f>
        <v>19.289380648422807</v>
      </c>
      <c r="AV88" s="22">
        <f>SUM(AT$3:AT88)/1000</f>
        <v>1.6588867357643615</v>
      </c>
    </row>
    <row r="89" spans="1:48" ht="15.6">
      <c r="A89" s="17" t="s">
        <v>63</v>
      </c>
      <c r="B89" s="17">
        <v>146</v>
      </c>
      <c r="C89" s="18">
        <f t="shared" si="33"/>
        <v>103.74465278386459</v>
      </c>
      <c r="D89" s="18">
        <f t="shared" si="34"/>
        <v>97.273627443273156</v>
      </c>
      <c r="E89" s="18">
        <f t="shared" si="44"/>
        <v>100.50914011356888</v>
      </c>
      <c r="F89" s="19">
        <f t="shared" si="54"/>
        <v>1.0198146253719216</v>
      </c>
      <c r="G89" s="19">
        <f t="shared" si="54"/>
        <v>0.94032915419718677</v>
      </c>
      <c r="H89" s="19">
        <f t="shared" si="45"/>
        <v>0.98007188978455417</v>
      </c>
      <c r="I89" s="19">
        <f>(SUM(H$3:H89)/($B89-$B$3+1))</f>
        <v>0.91553660249244306</v>
      </c>
      <c r="J89" s="19"/>
      <c r="K89" s="19">
        <f t="shared" si="46"/>
        <v>2.9255494962832755</v>
      </c>
      <c r="L89" s="19">
        <f t="shared" si="47"/>
        <v>2.5271690400221472</v>
      </c>
      <c r="M89" s="19">
        <f t="shared" si="48"/>
        <v>2.7263592681527111</v>
      </c>
      <c r="N89" s="19">
        <f>(SUM(M$3:M89)/($B89-$B$3+1))</f>
        <v>2.0668413733814353</v>
      </c>
      <c r="O89" s="19">
        <f t="shared" si="35"/>
        <v>2.8687071390218017</v>
      </c>
      <c r="P89" s="19">
        <f t="shared" si="36"/>
        <v>2.6875366234706792</v>
      </c>
      <c r="Q89" s="19">
        <f t="shared" si="49"/>
        <v>2.7781218812462405</v>
      </c>
      <c r="R89" s="19">
        <f>(SUM(Q$3:Q89)/($B89-$B$3+1))</f>
        <v>2.2214592233932504</v>
      </c>
      <c r="S89" s="19">
        <f t="shared" si="37"/>
        <v>10.110550217342238</v>
      </c>
      <c r="T89" s="19">
        <f t="shared" si="38"/>
        <v>9.2498439625099511</v>
      </c>
      <c r="U89" s="19">
        <f t="shared" si="55"/>
        <v>9.6801970899260947</v>
      </c>
      <c r="V89" s="19">
        <f>(SUM(U$3:U89)/($B89-$B$3+1))</f>
        <v>7.5907665013093508</v>
      </c>
      <c r="W89" s="18">
        <f t="shared" si="50"/>
        <v>10.310886982202875</v>
      </c>
      <c r="X89" s="18">
        <f t="shared" si="51"/>
        <v>8.6978979497229361</v>
      </c>
      <c r="Y89" s="20">
        <f t="shared" si="39"/>
        <v>9504.3924659629047</v>
      </c>
      <c r="Z89" s="20">
        <f>(SUM(Y$3:Y89)/($B89-$B$3+1))</f>
        <v>7073.1407868331044</v>
      </c>
      <c r="AA89" s="21">
        <f>SUM(Y$3:Y89)/1000</f>
        <v>615.36324845448007</v>
      </c>
      <c r="AB89" s="20">
        <f t="shared" si="40"/>
        <v>3486.1115249872259</v>
      </c>
      <c r="AC89" s="20">
        <f>(SUM(AB$3:AB89)/($B89-$B$3+1))</f>
        <v>3411.3576134953964</v>
      </c>
      <c r="AD89" s="18">
        <f t="shared" si="58"/>
        <v>7.7547692531732952</v>
      </c>
      <c r="AE89" s="18">
        <f t="shared" si="58"/>
        <v>6.6987801074747635</v>
      </c>
      <c r="AF89" s="20">
        <f t="shared" si="41"/>
        <v>7226.7746803240289</v>
      </c>
      <c r="AG89" s="20">
        <f>(SUM(AF$3:AF89)/($B89-$B$3+1))</f>
        <v>5378.1443613265228</v>
      </c>
      <c r="AH89" s="22">
        <f>SUM(AF$3:AF89)/1000</f>
        <v>467.89855943540744</v>
      </c>
      <c r="AI89" s="20">
        <v>2650.7051967588436</v>
      </c>
      <c r="AJ89" s="20">
        <f>(SUM(AI$3:AI89)/($B89-$B$3+1))</f>
        <v>2593.8651960161342</v>
      </c>
      <c r="AK89" s="21">
        <f>SUM(AI$3:AI89)/1000</f>
        <v>225.6662720534037</v>
      </c>
      <c r="AL89" s="23">
        <f t="shared" si="52"/>
        <v>2.0001912522178911</v>
      </c>
      <c r="AM89" s="23">
        <f t="shared" si="53"/>
        <v>2.1790702405708169</v>
      </c>
      <c r="AN89" s="24">
        <f t="shared" si="42"/>
        <v>0.69728897765354214</v>
      </c>
      <c r="AO89" s="24">
        <f t="shared" si="43"/>
        <v>0.75964818794106115</v>
      </c>
      <c r="AP89" s="24">
        <f t="shared" si="56"/>
        <v>0.72846858279730164</v>
      </c>
      <c r="AQ89" s="24">
        <f>(SUM(AP$3:AP89)/($B89-$B$3+1))</f>
        <v>0.97787117665674417</v>
      </c>
      <c r="AR89" s="21">
        <f t="shared" si="59"/>
        <v>20.399534173382005</v>
      </c>
      <c r="AS89" s="21">
        <f t="shared" si="59"/>
        <v>19.197593818735751</v>
      </c>
      <c r="AT89" s="21">
        <f t="shared" si="57"/>
        <v>19.798563996058878</v>
      </c>
      <c r="AU89" s="21">
        <f>(SUM(AT$3:AT89)/($B89-$B$3+1))</f>
        <v>19.295233330579546</v>
      </c>
      <c r="AV89" s="22">
        <f>SUM(AT$3:AT89)/1000</f>
        <v>1.6786852997604202</v>
      </c>
    </row>
    <row r="90" spans="1:48" ht="15.6">
      <c r="A90" s="17" t="s">
        <v>63</v>
      </c>
      <c r="B90" s="17">
        <v>147</v>
      </c>
      <c r="C90" s="18">
        <f t="shared" si="33"/>
        <v>104.76446740923652</v>
      </c>
      <c r="D90" s="18">
        <f t="shared" si="34"/>
        <v>98.213956597470343</v>
      </c>
      <c r="E90" s="18">
        <f t="shared" si="44"/>
        <v>101.48921200335343</v>
      </c>
      <c r="F90" s="19">
        <f t="shared" si="54"/>
        <v>1.0176254129586226</v>
      </c>
      <c r="G90" s="19">
        <f t="shared" si="54"/>
        <v>0.93891715914844553</v>
      </c>
      <c r="H90" s="19">
        <f t="shared" si="45"/>
        <v>0.97827128605353408</v>
      </c>
      <c r="I90" s="19">
        <f>(SUM(H$3:H90)/($B90-$B$3+1))</f>
        <v>0.91624949662381894</v>
      </c>
      <c r="J90" s="19"/>
      <c r="K90" s="19">
        <f t="shared" si="46"/>
        <v>2.9313905210573084</v>
      </c>
      <c r="L90" s="19">
        <f t="shared" si="47"/>
        <v>2.5356220502136262</v>
      </c>
      <c r="M90" s="19">
        <f t="shared" si="48"/>
        <v>2.7335062856354675</v>
      </c>
      <c r="N90" s="19">
        <f>(SUM(M$3:M90)/($B90-$B$3+1))</f>
        <v>2.0744171110206855</v>
      </c>
      <c r="O90" s="19">
        <f t="shared" si="35"/>
        <v>2.8806184316237204</v>
      </c>
      <c r="P90" s="19">
        <f t="shared" si="36"/>
        <v>2.7005812232820605</v>
      </c>
      <c r="Q90" s="19">
        <f t="shared" si="49"/>
        <v>2.7905998274528905</v>
      </c>
      <c r="R90" s="19">
        <f>(SUM(Q$3:Q90)/($B90-$B$3+1))</f>
        <v>2.2279267302575643</v>
      </c>
      <c r="S90" s="19">
        <f t="shared" si="37"/>
        <v>10.157221773054316</v>
      </c>
      <c r="T90" s="19">
        <f t="shared" si="38"/>
        <v>9.2977094714725705</v>
      </c>
      <c r="U90" s="19">
        <f t="shared" si="55"/>
        <v>9.727465622263443</v>
      </c>
      <c r="V90" s="19">
        <f>(SUM(U$3:U90)/($B90-$B$3+1))</f>
        <v>7.6150471731383753</v>
      </c>
      <c r="W90" s="18">
        <f t="shared" si="50"/>
        <v>10.33624700131671</v>
      </c>
      <c r="X90" s="18">
        <f t="shared" si="51"/>
        <v>8.7297789635426213</v>
      </c>
      <c r="Y90" s="20">
        <f t="shared" si="39"/>
        <v>9533.0129824296655</v>
      </c>
      <c r="Z90" s="20">
        <f>(SUM(Y$3:Y90)/($B90-$B$3+1))</f>
        <v>7101.0938799648839</v>
      </c>
      <c r="AA90" s="21">
        <f>SUM(Y$3:Y90)/1000</f>
        <v>624.89626143690975</v>
      </c>
      <c r="AB90" s="20">
        <f t="shared" si="40"/>
        <v>3487.4670062130454</v>
      </c>
      <c r="AC90" s="20">
        <f>(SUM(AB$3:AB90)/($B90-$B$3+1))</f>
        <v>3412.2224929580971</v>
      </c>
      <c r="AD90" s="18">
        <f t="shared" si="58"/>
        <v>7.7732733425949139</v>
      </c>
      <c r="AE90" s="18">
        <f t="shared" si="58"/>
        <v>6.7237998991387578</v>
      </c>
      <c r="AF90" s="20">
        <f t="shared" si="41"/>
        <v>7248.5366208668356</v>
      </c>
      <c r="AG90" s="20">
        <f>(SUM(AF$3:AF90)/($B90-$B$3+1))</f>
        <v>5399.3988188212988</v>
      </c>
      <c r="AH90" s="22">
        <f>SUM(AF$3:AF90)/1000</f>
        <v>475.14709605627434</v>
      </c>
      <c r="AI90" s="20">
        <v>2651.7358525779809</v>
      </c>
      <c r="AJ90" s="20">
        <f>(SUM(AI$3:AI90)/($B90-$B$3+1))</f>
        <v>2594.5228171134281</v>
      </c>
      <c r="AK90" s="21">
        <f>SUM(AI$3:AI90)/1000</f>
        <v>228.31800790598169</v>
      </c>
      <c r="AL90" s="23">
        <f t="shared" si="52"/>
        <v>1.990277379016653</v>
      </c>
      <c r="AM90" s="23">
        <f t="shared" si="53"/>
        <v>2.1702369897205172</v>
      </c>
      <c r="AN90" s="24">
        <f t="shared" si="42"/>
        <v>0.69410266925327535</v>
      </c>
      <c r="AO90" s="24">
        <f t="shared" si="43"/>
        <v>0.75686298973134236</v>
      </c>
      <c r="AP90" s="24">
        <f t="shared" si="56"/>
        <v>0.7254828294923088</v>
      </c>
      <c r="AQ90" s="24">
        <f>(SUM(AP$3:AP90)/($B90-$B$3+1))</f>
        <v>0.97500312725714833</v>
      </c>
      <c r="AR90" s="21">
        <f t="shared" si="59"/>
        <v>20.346859852896273</v>
      </c>
      <c r="AS90" s="21">
        <f t="shared" si="59"/>
        <v>19.191184857534008</v>
      </c>
      <c r="AT90" s="21">
        <f t="shared" si="57"/>
        <v>19.769022355215142</v>
      </c>
      <c r="AU90" s="21">
        <f>(SUM(AT$3:AT90)/($B90-$B$3+1))</f>
        <v>19.300617296768586</v>
      </c>
      <c r="AV90" s="22">
        <f>SUM(AT$3:AT90)/1000</f>
        <v>1.6984543221156354</v>
      </c>
    </row>
    <row r="91" spans="1:48" ht="15.6">
      <c r="A91" s="17" t="s">
        <v>63</v>
      </c>
      <c r="B91" s="17">
        <v>148</v>
      </c>
      <c r="C91" s="18">
        <f t="shared" si="33"/>
        <v>105.78209282219514</v>
      </c>
      <c r="D91" s="18">
        <f t="shared" si="34"/>
        <v>99.152873756618789</v>
      </c>
      <c r="E91" s="18">
        <f t="shared" si="44"/>
        <v>102.46748328940697</v>
      </c>
      <c r="F91" s="19">
        <f t="shared" si="54"/>
        <v>1.0153517610756495</v>
      </c>
      <c r="G91" s="19">
        <f t="shared" si="54"/>
        <v>0.93743682672837281</v>
      </c>
      <c r="H91" s="19">
        <f t="shared" si="45"/>
        <v>0.97639429390201116</v>
      </c>
      <c r="I91" s="19">
        <f>(SUM(H$3:H91)/($B91-$B$3+1))</f>
        <v>0.91692528086289982</v>
      </c>
      <c r="J91" s="19"/>
      <c r="K91" s="19">
        <f t="shared" si="46"/>
        <v>2.9370111081417778</v>
      </c>
      <c r="L91" s="19">
        <f t="shared" si="47"/>
        <v>2.5439366445173475</v>
      </c>
      <c r="M91" s="19">
        <f t="shared" si="48"/>
        <v>2.7404738763295624</v>
      </c>
      <c r="N91" s="19">
        <f>(SUM(M$3:M91)/($B91-$B$3+1))</f>
        <v>2.0819008949005604</v>
      </c>
      <c r="O91" s="19">
        <f t="shared" si="35"/>
        <v>2.8926045344426736</v>
      </c>
      <c r="P91" s="19">
        <f t="shared" si="36"/>
        <v>2.7137152840427787</v>
      </c>
      <c r="Q91" s="19">
        <f t="shared" si="49"/>
        <v>2.8031599092427264</v>
      </c>
      <c r="R91" s="19">
        <f>(SUM(Q$3:Q91)/($B91-$B$3+1))</f>
        <v>2.2343900244034653</v>
      </c>
      <c r="S91" s="19">
        <f t="shared" si="37"/>
        <v>10.204115306389099</v>
      </c>
      <c r="T91" s="19">
        <f t="shared" si="38"/>
        <v>9.3458743787315868</v>
      </c>
      <c r="U91" s="19">
        <f t="shared" si="55"/>
        <v>9.7749948425603428</v>
      </c>
      <c r="V91" s="19">
        <f>(SUM(U$3:U91)/($B91-$B$3+1))</f>
        <v>7.6393162480757004</v>
      </c>
      <c r="W91" s="18">
        <f t="shared" si="50"/>
        <v>10.360766446561163</v>
      </c>
      <c r="X91" s="18">
        <f t="shared" si="51"/>
        <v>8.7611668206001418</v>
      </c>
      <c r="Y91" s="20">
        <f t="shared" si="39"/>
        <v>9560.9666335806523</v>
      </c>
      <c r="Z91" s="20">
        <f>(SUM(Y$3:Y91)/($B91-$B$3+1))</f>
        <v>7128.7328996684319</v>
      </c>
      <c r="AA91" s="21">
        <f>SUM(Y$3:Y91)/1000</f>
        <v>634.45722807049037</v>
      </c>
      <c r="AB91" s="20">
        <f t="shared" si="40"/>
        <v>3488.8005013155157</v>
      </c>
      <c r="AC91" s="20">
        <f>(SUM(AB$3:AB91)/($B91-$B$3+1))</f>
        <v>3413.0829200182925</v>
      </c>
      <c r="AD91" s="18">
        <f t="shared" si="58"/>
        <v>7.7911556032703757</v>
      </c>
      <c r="AE91" s="18">
        <f t="shared" si="58"/>
        <v>6.7484274020455608</v>
      </c>
      <c r="AF91" s="20">
        <f t="shared" si="41"/>
        <v>7269.7915026579685</v>
      </c>
      <c r="AG91" s="20">
        <f>(SUM(AF$3:AF91)/($B91-$B$3+1))</f>
        <v>5420.4144669542957</v>
      </c>
      <c r="AH91" s="22">
        <f>SUM(AF$3:AF91)/1000</f>
        <v>482.41688755893227</v>
      </c>
      <c r="AI91" s="20">
        <v>2652.7497909940744</v>
      </c>
      <c r="AJ91" s="20">
        <f>(SUM(AI$3:AI91)/($B91-$B$3+1))</f>
        <v>2595.1770527750086</v>
      </c>
      <c r="AK91" s="21">
        <f>SUM(AI$3:AI91)/1000</f>
        <v>230.97075769697574</v>
      </c>
      <c r="AL91" s="23">
        <f t="shared" si="52"/>
        <v>1.9806871045159586</v>
      </c>
      <c r="AM91" s="23">
        <f t="shared" si="53"/>
        <v>2.1617600384930222</v>
      </c>
      <c r="AN91" s="24">
        <f t="shared" si="42"/>
        <v>0.6910222163184454</v>
      </c>
      <c r="AO91" s="24">
        <f t="shared" si="43"/>
        <v>0.75419495060183039</v>
      </c>
      <c r="AP91" s="24">
        <f t="shared" si="56"/>
        <v>0.7226085834601379</v>
      </c>
      <c r="AQ91" s="24">
        <f>(SUM(AP$3:AP91)/($B91-$B$3+1))</f>
        <v>0.97216723350662015</v>
      </c>
      <c r="AR91" s="21">
        <f t="shared" si="59"/>
        <v>20.295399253000244</v>
      </c>
      <c r="AS91" s="21">
        <f t="shared" si="59"/>
        <v>19.186241719459471</v>
      </c>
      <c r="AT91" s="21">
        <f t="shared" si="57"/>
        <v>19.740820486229858</v>
      </c>
      <c r="AU91" s="21">
        <f>(SUM(AT$3:AT91)/($B91-$B$3+1))</f>
        <v>19.305563400020961</v>
      </c>
      <c r="AV91" s="22">
        <f>SUM(AT$3:AT91)/1000</f>
        <v>1.7181951426018653</v>
      </c>
    </row>
    <row r="92" spans="1:48" ht="15.6">
      <c r="A92" s="17" t="s">
        <v>63</v>
      </c>
      <c r="B92" s="17">
        <v>149</v>
      </c>
      <c r="C92" s="18">
        <f t="shared" si="33"/>
        <v>106.79744458327079</v>
      </c>
      <c r="D92" s="18">
        <f t="shared" si="34"/>
        <v>100.09031058334716</v>
      </c>
      <c r="E92" s="18">
        <f t="shared" si="44"/>
        <v>103.44387758330897</v>
      </c>
      <c r="F92" s="19">
        <f t="shared" si="54"/>
        <v>1.0129956807654992</v>
      </c>
      <c r="G92" s="19">
        <f t="shared" si="54"/>
        <v>0.93588955618352543</v>
      </c>
      <c r="H92" s="19">
        <f t="shared" si="45"/>
        <v>0.9744426184745123</v>
      </c>
      <c r="I92" s="19">
        <f>(SUM(H$3:H92)/($B92-$B$3+1))</f>
        <v>0.91756436239191774</v>
      </c>
      <c r="J92" s="19"/>
      <c r="K92" s="19">
        <f t="shared" si="46"/>
        <v>2.9424186818526579</v>
      </c>
      <c r="L92" s="19">
        <f t="shared" si="47"/>
        <v>2.5521148828206042</v>
      </c>
      <c r="M92" s="19">
        <f t="shared" si="48"/>
        <v>2.7472667823366308</v>
      </c>
      <c r="N92" s="19">
        <f>(SUM(M$3:M92)/($B92-$B$3+1))</f>
        <v>2.0892938492054056</v>
      </c>
      <c r="O92" s="19">
        <f t="shared" si="35"/>
        <v>2.9046705111606546</v>
      </c>
      <c r="P92" s="19">
        <f t="shared" si="36"/>
        <v>2.726940231310949</v>
      </c>
      <c r="Q92" s="19">
        <f t="shared" si="49"/>
        <v>2.8158053712358018</v>
      </c>
      <c r="R92" s="19">
        <f>(SUM(Q$3:Q92)/($B92-$B$3+1))</f>
        <v>2.2408501949238246</v>
      </c>
      <c r="S92" s="19">
        <f t="shared" si="37"/>
        <v>10.251247761097138</v>
      </c>
      <c r="T92" s="19">
        <f t="shared" si="38"/>
        <v>9.3943437425955505</v>
      </c>
      <c r="U92" s="19">
        <f t="shared" si="55"/>
        <v>9.8227957518463445</v>
      </c>
      <c r="V92" s="19">
        <f>(SUM(U$3:U92)/($B92-$B$3+1))</f>
        <v>7.6635771314509293</v>
      </c>
      <c r="W92" s="18">
        <f t="shared" si="50"/>
        <v>10.384469704448396</v>
      </c>
      <c r="X92" s="18">
        <f t="shared" si="51"/>
        <v>8.7920681958932292</v>
      </c>
      <c r="Y92" s="20">
        <f t="shared" si="39"/>
        <v>9588.2689501708119</v>
      </c>
      <c r="Z92" s="20">
        <f>(SUM(Y$3:Y92)/($B92-$B$3+1))</f>
        <v>7156.0610780073475</v>
      </c>
      <c r="AA92" s="21">
        <f>SUM(Y$3:Y92)/1000</f>
        <v>644.04549702066129</v>
      </c>
      <c r="AB92" s="20">
        <f t="shared" si="40"/>
        <v>3490.1120676804853</v>
      </c>
      <c r="AC92" s="20">
        <f>(SUM(AB$3:AB92)/($B92-$B$3+1))</f>
        <v>3413.9387994367612</v>
      </c>
      <c r="AD92" s="18">
        <f t="shared" si="58"/>
        <v>7.8084349134299078</v>
      </c>
      <c r="AE92" s="18">
        <f t="shared" si="58"/>
        <v>6.772667355943053</v>
      </c>
      <c r="AF92" s="20">
        <f t="shared" si="41"/>
        <v>7290.5511346864805</v>
      </c>
      <c r="AG92" s="20">
        <f>(SUM(AF$3:AF92)/($B92-$B$3+1))</f>
        <v>5441.1937632624304</v>
      </c>
      <c r="AH92" s="22">
        <f>SUM(AF$3:AF92)/1000</f>
        <v>489.70743869361877</v>
      </c>
      <c r="AI92" s="20">
        <v>2653.7470556411172</v>
      </c>
      <c r="AJ92" s="20">
        <f>(SUM(AI$3:AI92)/($B92-$B$3+1))</f>
        <v>2595.827830584632</v>
      </c>
      <c r="AK92" s="21">
        <f>SUM(AI$3:AI92)/1000</f>
        <v>233.62450475261687</v>
      </c>
      <c r="AL92" s="23">
        <f t="shared" si="52"/>
        <v>1.9714192379335964</v>
      </c>
      <c r="AM92" s="23">
        <f t="shared" si="53"/>
        <v>2.1536384200189413</v>
      </c>
      <c r="AN92" s="24">
        <f t="shared" si="42"/>
        <v>0.68804740727695113</v>
      </c>
      <c r="AO92" s="24">
        <f t="shared" si="43"/>
        <v>0.75164394391284417</v>
      </c>
      <c r="AP92" s="24">
        <f t="shared" si="56"/>
        <v>0.71984567559489765</v>
      </c>
      <c r="AQ92" s="24">
        <f>(SUM(AP$3:AP92)/($B92-$B$3+1))</f>
        <v>0.96936366064093438</v>
      </c>
      <c r="AR92" s="21">
        <f t="shared" si="59"/>
        <v>20.245235451719854</v>
      </c>
      <c r="AS92" s="21">
        <f t="shared" si="59"/>
        <v>19.182816958419451</v>
      </c>
      <c r="AT92" s="21">
        <f t="shared" si="57"/>
        <v>19.714026205069651</v>
      </c>
      <c r="AU92" s="21">
        <f>(SUM(AT$3:AT92)/($B92-$B$3+1))</f>
        <v>19.310101875632611</v>
      </c>
      <c r="AV92" s="22">
        <f>SUM(AT$3:AT92)/1000</f>
        <v>1.737909168806935</v>
      </c>
    </row>
    <row r="93" spans="1:48" ht="15.6">
      <c r="A93" s="17" t="s">
        <v>63</v>
      </c>
      <c r="B93" s="17">
        <v>150</v>
      </c>
      <c r="C93" s="18">
        <f t="shared" si="33"/>
        <v>107.81044026403629</v>
      </c>
      <c r="D93" s="18">
        <f t="shared" si="34"/>
        <v>101.02620013953069</v>
      </c>
      <c r="E93" s="18">
        <f t="shared" si="44"/>
        <v>104.41832020178349</v>
      </c>
      <c r="F93" s="19">
        <f t="shared" si="54"/>
        <v>1.0105591699393841</v>
      </c>
      <c r="G93" s="19">
        <f t="shared" si="54"/>
        <v>0.93427673843112302</v>
      </c>
      <c r="H93" s="19">
        <f t="shared" si="45"/>
        <v>0.97241795418525356</v>
      </c>
      <c r="I93" s="19">
        <f>(SUM(H$3:H93)/($B93-$B$3+1))</f>
        <v>0.91816714911492159</v>
      </c>
      <c r="J93" s="19"/>
      <c r="K93" s="19">
        <f t="shared" si="46"/>
        <v>2.9476204898607357</v>
      </c>
      <c r="L93" s="19">
        <f t="shared" si="47"/>
        <v>2.5601588119241949</v>
      </c>
      <c r="M93" s="19">
        <f t="shared" si="48"/>
        <v>2.7538896508924653</v>
      </c>
      <c r="N93" s="19">
        <f>(SUM(M$3:M93)/($B93-$B$3+1))</f>
        <v>2.0965970997733954</v>
      </c>
      <c r="O93" s="19">
        <f t="shared" si="35"/>
        <v>2.9168212783003509</v>
      </c>
      <c r="P93" s="19">
        <f t="shared" si="36"/>
        <v>2.7402574704185847</v>
      </c>
      <c r="Q93" s="19">
        <f t="shared" si="49"/>
        <v>2.828539374359468</v>
      </c>
      <c r="R93" s="19">
        <f>(SUM(Q$3:Q93)/($B93-$B$3+1))</f>
        <v>2.2473083177747659</v>
      </c>
      <c r="S93" s="19">
        <f t="shared" si="37"/>
        <v>10.298635679462597</v>
      </c>
      <c r="T93" s="19">
        <f t="shared" si="38"/>
        <v>9.4431225573654896</v>
      </c>
      <c r="U93" s="19">
        <f t="shared" si="55"/>
        <v>9.8708791184140434</v>
      </c>
      <c r="V93" s="19">
        <f>(SUM(U$3:U93)/($B93-$B$3+1))</f>
        <v>7.6878331972417326</v>
      </c>
      <c r="W93" s="18">
        <f t="shared" si="50"/>
        <v>10.407380723745847</v>
      </c>
      <c r="X93" s="18">
        <f t="shared" si="51"/>
        <v>8.8224897435007943</v>
      </c>
      <c r="Y93" s="20">
        <f t="shared" si="39"/>
        <v>9614.9352336233205</v>
      </c>
      <c r="Z93" s="20">
        <f>(SUM(Y$3:Y93)/($B93-$B$3+1))</f>
        <v>7183.0816731240066</v>
      </c>
      <c r="AA93" s="21">
        <f>SUM(Y$3:Y93)/1000</f>
        <v>653.66043225428461</v>
      </c>
      <c r="AB93" s="20">
        <f t="shared" si="40"/>
        <v>3491.4017816608466</v>
      </c>
      <c r="AC93" s="20">
        <f>(SUM(AB$3:AB93)/($B93-$B$3+1))</f>
        <v>3414.7900409996632</v>
      </c>
      <c r="AD93" s="18">
        <f t="shared" si="58"/>
        <v>7.8251297770059756</v>
      </c>
      <c r="AE93" s="18">
        <f t="shared" si="58"/>
        <v>6.7965245261267571</v>
      </c>
      <c r="AF93" s="20">
        <f t="shared" si="41"/>
        <v>7310.8271515663664</v>
      </c>
      <c r="AG93" s="20">
        <f>(SUM(AF$3:AF93)/($B93-$B$3+1))</f>
        <v>5461.7391851119246</v>
      </c>
      <c r="AH93" s="22">
        <f>SUM(AF$3:AF93)/1000</f>
        <v>497.01826584518517</v>
      </c>
      <c r="AI93" s="20">
        <v>2654.7277045749142</v>
      </c>
      <c r="AJ93" s="20">
        <f>(SUM(AI$3:AI93)/($B93-$B$3+1))</f>
        <v>2596.4750819471624</v>
      </c>
      <c r="AK93" s="21">
        <f>SUM(AI$3:AI93)/1000</f>
        <v>236.27923245719177</v>
      </c>
      <c r="AL93" s="23">
        <f t="shared" si="52"/>
        <v>1.9624724754260425</v>
      </c>
      <c r="AM93" s="23">
        <f t="shared" si="53"/>
        <v>2.1458710589133685</v>
      </c>
      <c r="AN93" s="24">
        <f t="shared" si="42"/>
        <v>0.68517798971628563</v>
      </c>
      <c r="AO93" s="24">
        <f t="shared" si="43"/>
        <v>0.74920980383045821</v>
      </c>
      <c r="AP93" s="24">
        <f t="shared" si="56"/>
        <v>0.71719389677337197</v>
      </c>
      <c r="AQ93" s="24">
        <f>(SUM(AP$3:AP93)/($B93-$B$3+1))</f>
        <v>0.96659256433469731</v>
      </c>
      <c r="AR93" s="21">
        <f t="shared" si="59"/>
        <v>20.196446816893118</v>
      </c>
      <c r="AS93" s="21">
        <f t="shared" si="59"/>
        <v>19.180960812565452</v>
      </c>
      <c r="AT93" s="21">
        <f t="shared" si="57"/>
        <v>19.688703814729287</v>
      </c>
      <c r="AU93" s="21">
        <f>(SUM(AT$3:AT93)/($B93-$B$3+1))</f>
        <v>19.314262336501805</v>
      </c>
      <c r="AV93" s="22">
        <f>SUM(AT$3:AT93)/1000</f>
        <v>1.7575978726216643</v>
      </c>
    </row>
    <row r="94" spans="1:48" ht="15.6">
      <c r="A94" s="17" t="s">
        <v>63</v>
      </c>
      <c r="B94" s="17">
        <v>151</v>
      </c>
      <c r="C94" s="18">
        <f t="shared" si="33"/>
        <v>108.82099943397567</v>
      </c>
      <c r="D94" s="18">
        <f t="shared" si="34"/>
        <v>101.96047687796181</v>
      </c>
      <c r="E94" s="18">
        <f t="shared" si="44"/>
        <v>105.39073815596873</v>
      </c>
      <c r="F94" s="19">
        <f t="shared" si="54"/>
        <v>1.0080442125691036</v>
      </c>
      <c r="G94" s="19">
        <f t="shared" si="54"/>
        <v>0.93259975562209263</v>
      </c>
      <c r="H94" s="19">
        <f t="shared" si="45"/>
        <v>0.97032198409559811</v>
      </c>
      <c r="I94" s="19">
        <f>(SUM(H$3:H94)/($B94-$B$3+1))</f>
        <v>0.91873404949514625</v>
      </c>
      <c r="J94" s="19"/>
      <c r="K94" s="19">
        <f t="shared" si="46"/>
        <v>2.9526236018430256</v>
      </c>
      <c r="L94" s="19">
        <f t="shared" si="47"/>
        <v>2.5680704646520573</v>
      </c>
      <c r="M94" s="19">
        <f t="shared" si="48"/>
        <v>2.7603470332475415</v>
      </c>
      <c r="N94" s="19">
        <f>(SUM(M$3:M94)/($B94-$B$3+1))</f>
        <v>2.1038117729633314</v>
      </c>
      <c r="O94" s="19">
        <f t="shared" si="35"/>
        <v>2.9290616076431437</v>
      </c>
      <c r="P94" s="19">
        <f t="shared" si="36"/>
        <v>2.753668386862294</v>
      </c>
      <c r="Q94" s="19">
        <f t="shared" si="49"/>
        <v>2.8413649972527191</v>
      </c>
      <c r="R94" s="19">
        <f>(SUM(Q$3:Q94)/($B94-$B$3+1))</f>
        <v>2.2537654555951785</v>
      </c>
      <c r="S94" s="19">
        <f t="shared" si="37"/>
        <v>10.346295205959152</v>
      </c>
      <c r="T94" s="19">
        <f t="shared" si="38"/>
        <v>9.4922157543732428</v>
      </c>
      <c r="U94" s="19">
        <f t="shared" si="55"/>
        <v>9.9192554801661963</v>
      </c>
      <c r="V94" s="19">
        <f>(SUM(U$3:U94)/($B94-$B$3+1))</f>
        <v>7.7120877872735196</v>
      </c>
      <c r="W94" s="18">
        <f t="shared" si="50"/>
        <v>10.429523003898584</v>
      </c>
      <c r="X94" s="18">
        <f t="shared" si="51"/>
        <v>8.8524380928406643</v>
      </c>
      <c r="Y94" s="20">
        <f t="shared" si="39"/>
        <v>9640.9805483696236</v>
      </c>
      <c r="Z94" s="20">
        <f>(SUM(Y$3:Y94)/($B94-$B$3+1))</f>
        <v>7209.7979652462409</v>
      </c>
      <c r="AA94" s="21">
        <f>SUM(Y$3:Y94)/1000</f>
        <v>663.30141280265423</v>
      </c>
      <c r="AB94" s="20">
        <f t="shared" si="40"/>
        <v>3492.6697376260818</v>
      </c>
      <c r="AC94" s="20">
        <f>(SUM(AB$3:AB94)/($B94-$B$3+1))</f>
        <v>3415.636559441255</v>
      </c>
      <c r="AD94" s="18">
        <f t="shared" si="58"/>
        <v>7.8412583160997009</v>
      </c>
      <c r="AE94" s="18">
        <f t="shared" si="58"/>
        <v>6.8200036993247384</v>
      </c>
      <c r="AF94" s="20">
        <f t="shared" si="41"/>
        <v>7330.6310077122198</v>
      </c>
      <c r="AG94" s="20">
        <f>(SUM(AF$3:AF94)/($B94-$B$3+1))</f>
        <v>5482.0532266619275</v>
      </c>
      <c r="AH94" s="22">
        <f>SUM(AF$3:AF94)/1000</f>
        <v>504.34889685289738</v>
      </c>
      <c r="AI94" s="20">
        <v>2655.691809550392</v>
      </c>
      <c r="AJ94" s="20">
        <f>(SUM(AI$3:AI94)/($B94-$B$3+1))</f>
        <v>2597.1187420298061</v>
      </c>
      <c r="AK94" s="21">
        <f>SUM(AI$3:AI94)/1000</f>
        <v>238.93492426674217</v>
      </c>
      <c r="AL94" s="23">
        <f t="shared" si="52"/>
        <v>1.9538454037321644</v>
      </c>
      <c r="AM94" s="23">
        <f t="shared" si="53"/>
        <v>2.1384567742844212</v>
      </c>
      <c r="AN94" s="24">
        <f t="shared" si="42"/>
        <v>0.68241367136151454</v>
      </c>
      <c r="AO94" s="24">
        <f t="shared" si="43"/>
        <v>0.7468923260764686</v>
      </c>
      <c r="AP94" s="24">
        <f t="shared" si="56"/>
        <v>0.71465299871899157</v>
      </c>
      <c r="AQ94" s="24">
        <f>(SUM(AP$3:AP94)/($B94-$B$3+1))</f>
        <v>0.96385409079539619</v>
      </c>
      <c r="AR94" s="21">
        <f t="shared" si="59"/>
        <v>20.149107122823576</v>
      </c>
      <c r="AS94" s="21">
        <f t="shared" si="59"/>
        <v>19.180721228722529</v>
      </c>
      <c r="AT94" s="21">
        <f t="shared" si="57"/>
        <v>19.664914175773053</v>
      </c>
      <c r="AU94" s="21">
        <f>(SUM(AT$3:AT94)/($B94-$B$3+1))</f>
        <v>19.31807376953736</v>
      </c>
      <c r="AV94" s="22">
        <f>SUM(AT$3:AT94)/1000</f>
        <v>1.7772627867974373</v>
      </c>
    </row>
    <row r="95" spans="1:48" ht="15.6">
      <c r="A95" s="17" t="s">
        <v>63</v>
      </c>
      <c r="B95" s="17">
        <v>152</v>
      </c>
      <c r="C95" s="18">
        <f t="shared" si="33"/>
        <v>109.82904364654478</v>
      </c>
      <c r="D95" s="18">
        <f t="shared" si="34"/>
        <v>102.8930766335839</v>
      </c>
      <c r="E95" s="18">
        <f t="shared" si="44"/>
        <v>106.36106014006434</v>
      </c>
      <c r="F95" s="19">
        <f t="shared" si="54"/>
        <v>1.0054527779155507</v>
      </c>
      <c r="G95" s="19">
        <f t="shared" si="54"/>
        <v>0.93085998072292853</v>
      </c>
      <c r="H95" s="19">
        <f t="shared" si="45"/>
        <v>0.96815637931923959</v>
      </c>
      <c r="I95" s="19">
        <f>(SUM(H$3:H95)/($B95-$B$3+1))</f>
        <v>0.9192654723964806</v>
      </c>
      <c r="J95" s="19"/>
      <c r="K95" s="19">
        <f t="shared" si="46"/>
        <v>2.9574349086505149</v>
      </c>
      <c r="L95" s="19">
        <f t="shared" si="47"/>
        <v>2.5758518590190125</v>
      </c>
      <c r="M95" s="19">
        <f t="shared" si="48"/>
        <v>2.7666433838347637</v>
      </c>
      <c r="N95" s="19">
        <f>(SUM(M$3:M95)/($B95-$B$3+1))</f>
        <v>2.110938994585605</v>
      </c>
      <c r="O95" s="19">
        <f t="shared" si="35"/>
        <v>2.9413961287985164</v>
      </c>
      <c r="P95" s="19">
        <f t="shared" si="36"/>
        <v>2.7671743466923386</v>
      </c>
      <c r="Q95" s="19">
        <f t="shared" si="49"/>
        <v>2.8542852377454278</v>
      </c>
      <c r="R95" s="19">
        <f>(SUM(Q$3:Q95)/($B95-$B$3+1))</f>
        <v>2.2602226575537832</v>
      </c>
      <c r="S95" s="19">
        <f t="shared" si="37"/>
        <v>10.394242091454336</v>
      </c>
      <c r="T95" s="19">
        <f t="shared" si="38"/>
        <v>9.5416282030240751</v>
      </c>
      <c r="U95" s="19">
        <f t="shared" si="55"/>
        <v>9.9679351472392064</v>
      </c>
      <c r="V95" s="19">
        <f>(SUM(U$3:U95)/($B95-$B$3+1))</f>
        <v>7.7363442104989577</v>
      </c>
      <c r="W95" s="18">
        <f t="shared" si="50"/>
        <v>10.450919585179506</v>
      </c>
      <c r="X95" s="18">
        <f t="shared" si="51"/>
        <v>8.8819198451323409</v>
      </c>
      <c r="Y95" s="20">
        <f t="shared" si="39"/>
        <v>9666.4197151559238</v>
      </c>
      <c r="Z95" s="20">
        <f>(SUM(Y$3:Y95)/($B95-$B$3+1))</f>
        <v>7236.2132528796792</v>
      </c>
      <c r="AA95" s="21">
        <f>SUM(Y$3:Y95)/1000</f>
        <v>672.96783251781017</v>
      </c>
      <c r="AB95" s="20">
        <f t="shared" si="40"/>
        <v>3493.9160470178058</v>
      </c>
      <c r="AC95" s="20">
        <f>(SUM(AB$3:AB95)/($B95-$B$3+1))</f>
        <v>3416.4782743614328</v>
      </c>
      <c r="AD95" s="18">
        <f t="shared" si="58"/>
        <v>7.8568382648127733</v>
      </c>
      <c r="AE95" s="18">
        <f t="shared" si="58"/>
        <v>6.8431096796867017</v>
      </c>
      <c r="AF95" s="20">
        <f t="shared" si="41"/>
        <v>7349.973972249737</v>
      </c>
      <c r="AG95" s="20">
        <f>(SUM(AF$3:AF95)/($B95-$B$3+1))</f>
        <v>5502.138395969323</v>
      </c>
      <c r="AH95" s="22">
        <f>SUM(AF$3:AF95)/1000</f>
        <v>511.69887082514708</v>
      </c>
      <c r="AI95" s="20">
        <v>2656.6394553034706</v>
      </c>
      <c r="AJ95" s="20">
        <f>(SUM(AI$3:AI95)/($B95-$B$3+1))</f>
        <v>2597.7587496994151</v>
      </c>
      <c r="AK95" s="21">
        <f>SUM(AI$3:AI95)/1000</f>
        <v>241.59156372204563</v>
      </c>
      <c r="AL95" s="23">
        <f t="shared" si="52"/>
        <v>1.9455365037989223</v>
      </c>
      <c r="AM95" s="23">
        <f t="shared" si="53"/>
        <v>2.1313942827313475</v>
      </c>
      <c r="AN95" s="24">
        <f t="shared" si="42"/>
        <v>0.67975412106819733</v>
      </c>
      <c r="AO95" s="24">
        <f t="shared" si="43"/>
        <v>0.74469126869570612</v>
      </c>
      <c r="AP95" s="24">
        <f t="shared" si="56"/>
        <v>0.71222269488195167</v>
      </c>
      <c r="AQ95" s="24">
        <f>(SUM(AP$3:AP95)/($B95-$B$3+1))</f>
        <v>0.96114837686084309</v>
      </c>
      <c r="AR95" s="21">
        <f t="shared" si="59"/>
        <v>20.10328566946135</v>
      </c>
      <c r="AS95" s="21">
        <f t="shared" si="59"/>
        <v>19.182143888650614</v>
      </c>
      <c r="AT95" s="21">
        <f t="shared" si="57"/>
        <v>19.642714779055982</v>
      </c>
      <c r="AU95" s="21">
        <f>(SUM(AT$3:AT95)/($B95-$B$3+1))</f>
        <v>19.321564533080572</v>
      </c>
      <c r="AV95" s="22">
        <f>SUM(AT$3:AT95)/1000</f>
        <v>1.7969055015764932</v>
      </c>
    </row>
    <row r="96" spans="1:48" ht="15.6">
      <c r="A96" s="17" t="s">
        <v>63</v>
      </c>
      <c r="B96" s="17">
        <v>153</v>
      </c>
      <c r="C96" s="18">
        <f t="shared" si="33"/>
        <v>110.83449642446033</v>
      </c>
      <c r="D96" s="18">
        <f t="shared" si="34"/>
        <v>103.82393661430683</v>
      </c>
      <c r="E96" s="18">
        <f t="shared" si="44"/>
        <v>107.32921651938358</v>
      </c>
      <c r="F96" s="19">
        <f t="shared" si="54"/>
        <v>1.002786819795503</v>
      </c>
      <c r="G96" s="19">
        <f t="shared" si="54"/>
        <v>0.92905877711567086</v>
      </c>
      <c r="H96" s="19">
        <f t="shared" si="45"/>
        <v>0.96592279845558693</v>
      </c>
      <c r="I96" s="19">
        <f>(SUM(H$3:H96)/($B96-$B$3+1))</f>
        <v>0.91976182692902431</v>
      </c>
      <c r="J96" s="19"/>
      <c r="K96" s="19">
        <f t="shared" si="46"/>
        <v>2.9620611219556641</v>
      </c>
      <c r="L96" s="19">
        <f t="shared" si="47"/>
        <v>2.5835049974545212</v>
      </c>
      <c r="M96" s="19">
        <f t="shared" si="48"/>
        <v>2.7727830597050929</v>
      </c>
      <c r="N96" s="19">
        <f>(SUM(M$3:M96)/($B96-$B$3+1))</f>
        <v>2.1179798888953867</v>
      </c>
      <c r="O96" s="19">
        <f t="shared" si="35"/>
        <v>2.9538293319009852</v>
      </c>
      <c r="P96" s="19">
        <f t="shared" si="36"/>
        <v>2.7807766969009178</v>
      </c>
      <c r="Q96" s="19">
        <f t="shared" si="49"/>
        <v>2.8673030144009513</v>
      </c>
      <c r="R96" s="19">
        <f>(SUM(Q$3:Q96)/($B96-$B$3+1))</f>
        <v>2.26668095922237</v>
      </c>
      <c r="S96" s="19">
        <f t="shared" si="37"/>
        <v>10.44249169789323</v>
      </c>
      <c r="T96" s="19">
        <f t="shared" si="38"/>
        <v>9.5913647118463388</v>
      </c>
      <c r="U96" s="19">
        <f t="shared" si="55"/>
        <v>10.016928204869785</v>
      </c>
      <c r="V96" s="19">
        <f>(SUM(U$3:U96)/($B96-$B$3+1))</f>
        <v>7.7606057423539667</v>
      </c>
      <c r="W96" s="18">
        <f t="shared" si="50"/>
        <v>10.471593040471294</v>
      </c>
      <c r="X96" s="18">
        <f t="shared" si="51"/>
        <v>8.910941570058359</v>
      </c>
      <c r="Y96" s="20">
        <f t="shared" si="39"/>
        <v>9691.2673052648261</v>
      </c>
      <c r="Z96" s="20">
        <f>(SUM(Y$3:Y96)/($B96-$B$3+1))</f>
        <v>7262.3308491816488</v>
      </c>
      <c r="AA96" s="21">
        <f>SUM(Y$3:Y96)/1000</f>
        <v>682.65909982307505</v>
      </c>
      <c r="AB96" s="20">
        <f t="shared" si="40"/>
        <v>3495.1408374139332</v>
      </c>
      <c r="AC96" s="20">
        <f>(SUM(AB$3:AB96)/($B96-$B$3+1))</f>
        <v>3417.315110138587</v>
      </c>
      <c r="AD96" s="18">
        <f t="shared" si="58"/>
        <v>7.8718869643634486</v>
      </c>
      <c r="AE96" s="18">
        <f t="shared" si="58"/>
        <v>6.8658472848807319</v>
      </c>
      <c r="AF96" s="20">
        <f t="shared" si="41"/>
        <v>7368.8671246220902</v>
      </c>
      <c r="AG96" s="20">
        <f>(SUM(AF$3:AF96)/($B96-$B$3+1))</f>
        <v>5521.9972122315867</v>
      </c>
      <c r="AH96" s="22">
        <f>SUM(AF$3:AF96)/1000</f>
        <v>519.06773794976914</v>
      </c>
      <c r="AI96" s="20">
        <v>2657.5707388394922</v>
      </c>
      <c r="AJ96" s="20">
        <f>(SUM(AI$3:AI96)/($B96-$B$3+1))</f>
        <v>2598.3950474562243</v>
      </c>
      <c r="AK96" s="21">
        <f>SUM(AI$3:AI96)/1000</f>
        <v>244.2491344608851</v>
      </c>
      <c r="AL96" s="23">
        <f t="shared" si="52"/>
        <v>1.9375441543856784</v>
      </c>
      <c r="AM96" s="23">
        <f t="shared" si="53"/>
        <v>2.1246822013297941</v>
      </c>
      <c r="AN96" s="24">
        <f t="shared" si="42"/>
        <v>0.67719896982860317</v>
      </c>
      <c r="AO96" s="24">
        <f t="shared" si="43"/>
        <v>0.74260635283942966</v>
      </c>
      <c r="AP96" s="24">
        <f t="shared" si="56"/>
        <v>0.70990266133401647</v>
      </c>
      <c r="AQ96" s="24">
        <f>(SUM(AP$3:AP96)/($B96-$B$3+1))</f>
        <v>0.95847555009991936</v>
      </c>
      <c r="AR96" s="21">
        <f t="shared" si="59"/>
        <v>20.059047403577321</v>
      </c>
      <c r="AS96" s="21">
        <f t="shared" si="59"/>
        <v>19.185272237021419</v>
      </c>
      <c r="AT96" s="21">
        <f t="shared" si="57"/>
        <v>19.62215982029937</v>
      </c>
      <c r="AU96" s="21">
        <f>(SUM(AT$3:AT96)/($B96-$B$3+1))</f>
        <v>19.324762355285028</v>
      </c>
      <c r="AV96" s="22">
        <f>SUM(AT$3:AT96)/1000</f>
        <v>1.8165276613967927</v>
      </c>
    </row>
    <row r="97" spans="1:48" ht="15.6">
      <c r="A97" s="17" t="s">
        <v>63</v>
      </c>
      <c r="B97" s="17">
        <v>154</v>
      </c>
      <c r="C97" s="18">
        <f t="shared" si="33"/>
        <v>111.83728324425583</v>
      </c>
      <c r="D97" s="18">
        <f t="shared" si="34"/>
        <v>104.7529953914225</v>
      </c>
      <c r="E97" s="18">
        <f t="shared" si="44"/>
        <v>108.29513931783916</v>
      </c>
      <c r="F97" s="19">
        <f t="shared" si="54"/>
        <v>1.0000482758827758</v>
      </c>
      <c r="G97" s="19">
        <f t="shared" si="54"/>
        <v>0.92719749821610264</v>
      </c>
      <c r="H97" s="19">
        <f t="shared" si="45"/>
        <v>0.96362288704943921</v>
      </c>
      <c r="I97" s="19">
        <f>(SUM(H$3:H97)/($B97-$B$3+1))</f>
        <v>0.92022352229871285</v>
      </c>
      <c r="J97" s="19"/>
      <c r="K97" s="19">
        <f t="shared" si="46"/>
        <v>2.9665087743442538</v>
      </c>
      <c r="L97" s="19">
        <f t="shared" si="47"/>
        <v>2.5910318660803418</v>
      </c>
      <c r="M97" s="19">
        <f t="shared" si="48"/>
        <v>2.7787703202122978</v>
      </c>
      <c r="N97" s="19">
        <f>(SUM(M$3:M97)/($B97-$B$3+1))</f>
        <v>2.1249355776460912</v>
      </c>
      <c r="O97" s="19">
        <f t="shared" si="35"/>
        <v>2.9663655704277057</v>
      </c>
      <c r="P97" s="19">
        <f t="shared" si="36"/>
        <v>2.7944767658081493</v>
      </c>
      <c r="Q97" s="19">
        <f t="shared" si="49"/>
        <v>2.8804211681179277</v>
      </c>
      <c r="R97" s="19">
        <f>(SUM(Q$3:Q97)/($B97-$B$3+1))</f>
        <v>2.2731413824739022</v>
      </c>
      <c r="S97" s="19">
        <f t="shared" si="37"/>
        <v>10.491059003451133</v>
      </c>
      <c r="T97" s="19">
        <f t="shared" si="38"/>
        <v>9.6414300295428035</v>
      </c>
      <c r="U97" s="19">
        <f t="shared" si="55"/>
        <v>10.066244516496969</v>
      </c>
      <c r="V97" s="19">
        <f>(SUM(U$3:U97)/($B97-$B$3+1))</f>
        <v>7.7848756241870518</v>
      </c>
      <c r="W97" s="18">
        <f t="shared" si="50"/>
        <v>10.491565468585778</v>
      </c>
      <c r="X97" s="18">
        <f t="shared" si="51"/>
        <v>8.9395098026176925</v>
      </c>
      <c r="Y97" s="20">
        <f t="shared" si="39"/>
        <v>9715.537635601735</v>
      </c>
      <c r="Z97" s="20">
        <f>(SUM(Y$3:Y97)/($B97-$B$3+1))</f>
        <v>7288.1540785123861</v>
      </c>
      <c r="AA97" s="21">
        <f>SUM(Y$3:Y97)/1000</f>
        <v>692.37463745867672</v>
      </c>
      <c r="AB97" s="20">
        <f t="shared" si="40"/>
        <v>3496.3442516038781</v>
      </c>
      <c r="AC97" s="20">
        <f>(SUM(AB$3:AB97)/($B97-$B$3+1))</f>
        <v>3418.1469958382218</v>
      </c>
      <c r="AD97" s="18">
        <f t="shared" si="58"/>
        <v>7.8864213594069854</v>
      </c>
      <c r="AE97" s="18">
        <f t="shared" si="58"/>
        <v>6.8882213423006213</v>
      </c>
      <c r="AF97" s="20">
        <f t="shared" si="41"/>
        <v>7387.3213508538029</v>
      </c>
      <c r="AG97" s="20">
        <f>(SUM(AF$3:AF97)/($B97-$B$3+1))</f>
        <v>5541.6322031644531</v>
      </c>
      <c r="AH97" s="22">
        <f>SUM(AF$3:AF97)/1000</f>
        <v>526.45505930062302</v>
      </c>
      <c r="AI97" s="20">
        <v>2658.4857687300378</v>
      </c>
      <c r="AJ97" s="20">
        <f>(SUM(AI$3:AI97)/($B97-$B$3+1))</f>
        <v>2599.0275813643698</v>
      </c>
      <c r="AK97" s="21">
        <f>SUM(AI$3:AI97)/1000</f>
        <v>246.90762022961513</v>
      </c>
      <c r="AL97" s="23">
        <f t="shared" si="52"/>
        <v>1.929866635643875</v>
      </c>
      <c r="AM97" s="23">
        <f t="shared" si="53"/>
        <v>2.1183190506020058</v>
      </c>
      <c r="AN97" s="24">
        <f t="shared" si="42"/>
        <v>0.67474781178955789</v>
      </c>
      <c r="AO97" s="24">
        <f t="shared" si="43"/>
        <v>0.74063726356353077</v>
      </c>
      <c r="AP97" s="24">
        <f t="shared" si="56"/>
        <v>0.70769253767654439</v>
      </c>
      <c r="AQ97" s="24">
        <f>(SUM(AP$3:AP97)/($B97-$B$3+1))</f>
        <v>0.95583572891651547</v>
      </c>
      <c r="AR97" s="21">
        <f t="shared" si="59"/>
        <v>20.016453041433085</v>
      </c>
      <c r="AS97" s="21">
        <f t="shared" si="59"/>
        <v>19.190147510996528</v>
      </c>
      <c r="AT97" s="21">
        <f t="shared" si="57"/>
        <v>19.603300276214807</v>
      </c>
      <c r="AU97" s="21">
        <f>(SUM(AT$3:AT97)/($B97-$B$3+1))</f>
        <v>19.327694333400078</v>
      </c>
      <c r="AV97" s="22">
        <f>SUM(AT$3:AT97)/1000</f>
        <v>1.8361309616730075</v>
      </c>
    </row>
    <row r="98" spans="1:48" ht="15.6">
      <c r="A98" s="17" t="s">
        <v>63</v>
      </c>
      <c r="B98" s="17">
        <v>155</v>
      </c>
      <c r="C98" s="18">
        <f t="shared" si="33"/>
        <v>112.8373315201386</v>
      </c>
      <c r="D98" s="18">
        <f t="shared" si="34"/>
        <v>105.6801928896386</v>
      </c>
      <c r="E98" s="18">
        <f t="shared" si="44"/>
        <v>109.2587622048886</v>
      </c>
      <c r="F98" s="19">
        <f t="shared" si="54"/>
        <v>0.99723906704673482</v>
      </c>
      <c r="G98" s="19">
        <f t="shared" si="54"/>
        <v>0.92527748710958235</v>
      </c>
      <c r="H98" s="19">
        <f t="shared" si="45"/>
        <v>0.96125827707815859</v>
      </c>
      <c r="I98" s="19">
        <f>(SUM(H$3:H98)/($B98-$B$3+1))</f>
        <v>0.92065096766099874</v>
      </c>
      <c r="J98" s="19"/>
      <c r="K98" s="19">
        <f t="shared" si="46"/>
        <v>2.9707842198173648</v>
      </c>
      <c r="L98" s="19">
        <f t="shared" si="47"/>
        <v>2.5984344340400392</v>
      </c>
      <c r="M98" s="19">
        <f t="shared" si="48"/>
        <v>2.784609326928702</v>
      </c>
      <c r="N98" s="19">
        <f>(SUM(M$3:M98)/($B98-$B$3+1))</f>
        <v>2.1318071792011182</v>
      </c>
      <c r="O98" s="19">
        <f t="shared" si="35"/>
        <v>2.9790090641105431</v>
      </c>
      <c r="P98" s="19">
        <f t="shared" si="36"/>
        <v>2.8082758634462501</v>
      </c>
      <c r="Q98" s="19">
        <f t="shared" si="49"/>
        <v>2.8936424637783968</v>
      </c>
      <c r="R98" s="19">
        <f>(SUM(Q$3:Q98)/($B98-$B$3+1))</f>
        <v>2.2796049354041572</v>
      </c>
      <c r="S98" s="19">
        <f t="shared" si="37"/>
        <v>10.539958608075349</v>
      </c>
      <c r="T98" s="19">
        <f t="shared" si="38"/>
        <v>9.691828846045162</v>
      </c>
      <c r="U98" s="19">
        <f t="shared" si="55"/>
        <v>10.115893727060255</v>
      </c>
      <c r="V98" s="19">
        <f>(SUM(U$3:U98)/($B98-$B$3+1))</f>
        <v>7.8091570627586471</v>
      </c>
      <c r="W98" s="18">
        <f t="shared" si="50"/>
        <v>10.510858489028262</v>
      </c>
      <c r="X98" s="18">
        <f t="shared" si="51"/>
        <v>8.9676310401648305</v>
      </c>
      <c r="Y98" s="20">
        <f t="shared" si="39"/>
        <v>9739.2447645965458</v>
      </c>
      <c r="Z98" s="20">
        <f>(SUM(Y$3:Y98)/($B98-$B$3+1))</f>
        <v>7313.6862731590963</v>
      </c>
      <c r="AA98" s="21">
        <f>SUM(Y$3:Y98)/1000</f>
        <v>702.11388222327332</v>
      </c>
      <c r="AB98" s="20">
        <f t="shared" si="40"/>
        <v>3497.5264466769891</v>
      </c>
      <c r="AC98" s="20">
        <f>(SUM(AB$3:AB98)/($B98-$B$3+1))</f>
        <v>3418.9738651177922</v>
      </c>
      <c r="AD98" s="18">
        <f t="shared" si="58"/>
        <v>7.9004579954826717</v>
      </c>
      <c r="AE98" s="18">
        <f t="shared" si="58"/>
        <v>6.9102366853864501</v>
      </c>
      <c r="AF98" s="20">
        <f t="shared" si="41"/>
        <v>7405.3473404345614</v>
      </c>
      <c r="AG98" s="20">
        <f>(SUM(AF$3:AF98)/($B98-$B$3+1))</f>
        <v>5561.0459025110167</v>
      </c>
      <c r="AH98" s="22">
        <f>SUM(AF$3:AF98)/1000</f>
        <v>533.86040664105758</v>
      </c>
      <c r="AI98" s="20">
        <v>2659.3846644198106</v>
      </c>
      <c r="AJ98" s="20">
        <f>(SUM(AI$3:AI98)/($B98-$B$3+1))</f>
        <v>2599.6563009795304</v>
      </c>
      <c r="AK98" s="21">
        <f>SUM(AI$3:AI98)/1000</f>
        <v>249.56700489403494</v>
      </c>
      <c r="AL98" s="23">
        <f t="shared" si="52"/>
        <v>1.9225021326690435</v>
      </c>
      <c r="AM98" s="23">
        <f t="shared" si="53"/>
        <v>2.112303257469744</v>
      </c>
      <c r="AN98" s="24">
        <f t="shared" si="42"/>
        <v>0.67240020528028921</v>
      </c>
      <c r="AO98" s="24">
        <f t="shared" si="43"/>
        <v>0.73878365064023821</v>
      </c>
      <c r="AP98" s="24">
        <f t="shared" si="56"/>
        <v>0.70559192796026371</v>
      </c>
      <c r="AQ98" s="24">
        <f>(SUM(AP$3:AP98)/($B98-$B$3+1))</f>
        <v>0.95322902265655463</v>
      </c>
      <c r="AR98" s="21">
        <f t="shared" si="59"/>
        <v>19.975559192486401</v>
      </c>
      <c r="AS98" s="21">
        <f t="shared" si="59"/>
        <v>19.196808771294016</v>
      </c>
      <c r="AT98" s="21">
        <f t="shared" si="57"/>
        <v>19.586183981890208</v>
      </c>
      <c r="AU98" s="21">
        <f>(SUM(AT$3:AT98)/($B98-$B$3+1))</f>
        <v>19.330386933905185</v>
      </c>
      <c r="AV98" s="22">
        <f>SUM(AT$3:AT98)/1000</f>
        <v>1.8557171456548978</v>
      </c>
    </row>
    <row r="99" spans="1:48" ht="15.6">
      <c r="A99" s="17" t="s">
        <v>63</v>
      </c>
      <c r="B99" s="17">
        <v>156</v>
      </c>
      <c r="C99" s="18">
        <f t="shared" si="33"/>
        <v>113.83457058718534</v>
      </c>
      <c r="D99" s="18">
        <f t="shared" si="34"/>
        <v>106.60547037674819</v>
      </c>
      <c r="E99" s="18">
        <f t="shared" si="44"/>
        <v>110.22002048196677</v>
      </c>
      <c r="F99" s="19">
        <f t="shared" si="54"/>
        <v>0.99436109672464568</v>
      </c>
      <c r="G99" s="19">
        <f t="shared" si="54"/>
        <v>0.92330007620375909</v>
      </c>
      <c r="H99" s="19">
        <f t="shared" si="45"/>
        <v>0.95883058646420238</v>
      </c>
      <c r="I99" s="19">
        <f>(SUM(H$3:H99)/($B99-$B$3+1))</f>
        <v>0.9210445719785576</v>
      </c>
      <c r="J99" s="19"/>
      <c r="K99" s="19">
        <f t="shared" si="46"/>
        <v>2.9748936346705523</v>
      </c>
      <c r="L99" s="19">
        <f t="shared" si="47"/>
        <v>2.6057146528783344</v>
      </c>
      <c r="M99" s="19">
        <f t="shared" si="48"/>
        <v>2.7903041437744434</v>
      </c>
      <c r="N99" s="19">
        <f>(SUM(M$3:M99)/($B99-$B$3+1))</f>
        <v>2.1385958077018743</v>
      </c>
      <c r="O99" s="19">
        <f t="shared" ref="O99:O130" si="60">K99/F99</f>
        <v>2.9917639019362676</v>
      </c>
      <c r="P99" s="19">
        <f t="shared" ref="P99:P130" si="61">L99/G99</f>
        <v>2.822175281942997</v>
      </c>
      <c r="Q99" s="19">
        <f t="shared" si="49"/>
        <v>2.9069695919396326</v>
      </c>
      <c r="R99" s="19">
        <f>(SUM(Q$3:Q99)/($B99-$B$3+1))</f>
        <v>2.2860726122756572</v>
      </c>
      <c r="S99" s="19">
        <f t="shared" ref="S99:S130" si="62">W99/F99</f>
        <v>10.589204739405085</v>
      </c>
      <c r="T99" s="19">
        <f t="shared" ref="T99:T130" si="63">X99/G99</f>
        <v>9.7425657935753236</v>
      </c>
      <c r="U99" s="19">
        <f t="shared" si="55"/>
        <v>10.165885266490204</v>
      </c>
      <c r="V99" s="19">
        <f>(SUM(U$3:U99)/($B99-$B$3+1))</f>
        <v>7.8334532298074269</v>
      </c>
      <c r="W99" s="18">
        <f t="shared" si="50"/>
        <v>10.529493238116656</v>
      </c>
      <c r="X99" s="18">
        <f t="shared" si="51"/>
        <v>8.9953117396282334</v>
      </c>
      <c r="Y99" s="20">
        <f t="shared" si="39"/>
        <v>9762.4024888724452</v>
      </c>
      <c r="Z99" s="20">
        <f>(SUM(Y$3:Y99)/($B99-$B$3+1))</f>
        <v>7338.9307702283058</v>
      </c>
      <c r="AA99" s="21">
        <f>SUM(Y$3:Y99)/1000</f>
        <v>711.87628471214566</v>
      </c>
      <c r="AB99" s="20">
        <f t="shared" si="40"/>
        <v>3498.687593126263</v>
      </c>
      <c r="AC99" s="20">
        <f>(SUM(AB$3:AB99)/($B99-$B$3+1))</f>
        <v>3419.795656128189</v>
      </c>
      <c r="AD99" s="18">
        <f t="shared" si="58"/>
        <v>7.9140130175117998</v>
      </c>
      <c r="AE99" s="18">
        <f t="shared" si="58"/>
        <v>6.9318981500607757</v>
      </c>
      <c r="AF99" s="20">
        <f t="shared" si="41"/>
        <v>7422.9555837862881</v>
      </c>
      <c r="AG99" s="20">
        <f>(SUM(AF$3:AF99)/($B99-$B$3+1))</f>
        <v>5580.2408476788023</v>
      </c>
      <c r="AH99" s="22">
        <f>SUM(AF$3:AF99)/1000</f>
        <v>541.28336222484381</v>
      </c>
      <c r="AI99" s="20">
        <v>2660.267555545131</v>
      </c>
      <c r="AJ99" s="20">
        <f>(SUM(AI$3:AI99)/($B99-$B$3+1))</f>
        <v>2600.2811592740213</v>
      </c>
      <c r="AK99" s="21">
        <f>SUM(AI$3:AI99)/1000</f>
        <v>252.22727244958008</v>
      </c>
      <c r="AL99" s="23">
        <f t="shared" si="52"/>
        <v>1.9154487390222261</v>
      </c>
      <c r="AM99" s="23">
        <f t="shared" si="53"/>
        <v>2.106633158187925</v>
      </c>
      <c r="AN99" s="24">
        <f t="shared" si="42"/>
        <v>0.67015567384864083</v>
      </c>
      <c r="AO99" s="24">
        <f t="shared" si="43"/>
        <v>0.73704512938204902</v>
      </c>
      <c r="AP99" s="24">
        <f t="shared" si="56"/>
        <v>0.70360040161534498</v>
      </c>
      <c r="AQ99" s="24">
        <f>(SUM(AP$3:AP99)/($B99-$B$3+1))</f>
        <v>0.95065553171798545</v>
      </c>
      <c r="AR99" s="21">
        <f t="shared" si="59"/>
        <v>19.936418483706763</v>
      </c>
      <c r="AS99" s="21">
        <f t="shared" si="59"/>
        <v>19.20529293463413</v>
      </c>
      <c r="AT99" s="21">
        <f t="shared" si="57"/>
        <v>19.570855709170445</v>
      </c>
      <c r="AU99" s="21">
        <f>(SUM(AT$3:AT99)/($B99-$B$3+1))</f>
        <v>19.332865993444003</v>
      </c>
      <c r="AV99" s="22">
        <f>SUM(AT$3:AT99)/1000</f>
        <v>1.875288001364068</v>
      </c>
    </row>
    <row r="100" spans="1:48" ht="15.6">
      <c r="A100" s="17" t="s">
        <v>63</v>
      </c>
      <c r="B100" s="17">
        <v>157</v>
      </c>
      <c r="C100" s="18">
        <f t="shared" si="33"/>
        <v>114.82893168390999</v>
      </c>
      <c r="D100" s="18">
        <f t="shared" si="34"/>
        <v>107.52877045295195</v>
      </c>
      <c r="E100" s="18">
        <f t="shared" si="44"/>
        <v>111.17885106843096</v>
      </c>
      <c r="F100" s="19">
        <f t="shared" si="54"/>
        <v>0.99141625032896741</v>
      </c>
      <c r="G100" s="19">
        <f t="shared" si="54"/>
        <v>0.92126658689932128</v>
      </c>
      <c r="H100" s="19">
        <f t="shared" si="45"/>
        <v>0.95634141861414435</v>
      </c>
      <c r="I100" s="19">
        <f>(SUM(H$3:H100)/($B100-$B$3+1))</f>
        <v>0.92140474388300231</v>
      </c>
      <c r="J100" s="19"/>
      <c r="K100" s="19">
        <f t="shared" si="46"/>
        <v>2.9788430187185639</v>
      </c>
      <c r="L100" s="19">
        <f t="shared" si="47"/>
        <v>2.6128744559683188</v>
      </c>
      <c r="M100" s="19">
        <f t="shared" si="48"/>
        <v>2.7958587373434414</v>
      </c>
      <c r="N100" s="19">
        <f>(SUM(M$3:M100)/($B100-$B$3+1))</f>
        <v>2.1453025722900536</v>
      </c>
      <c r="O100" s="19">
        <f t="shared" si="60"/>
        <v>3.0046340452157581</v>
      </c>
      <c r="P100" s="19">
        <f t="shared" si="61"/>
        <v>2.8361762958997465</v>
      </c>
      <c r="Q100" s="19">
        <f t="shared" si="49"/>
        <v>2.9204051705577525</v>
      </c>
      <c r="R100" s="19">
        <f>(SUM(Q$3:Q100)/($B100-$B$3+1))</f>
        <v>2.2925453934826172</v>
      </c>
      <c r="S100" s="19">
        <f t="shared" si="62"/>
        <v>10.638811259012233</v>
      </c>
      <c r="T100" s="19">
        <f t="shared" si="63"/>
        <v>9.7936454476969601</v>
      </c>
      <c r="U100" s="19">
        <f t="shared" si="55"/>
        <v>10.216228353354596</v>
      </c>
      <c r="V100" s="19">
        <f>(SUM(U$3:U100)/($B100-$B$3+1))</f>
        <v>7.8577672616803573</v>
      </c>
      <c r="W100" s="18">
        <f t="shared" si="50"/>
        <v>10.547490366367509</v>
      </c>
      <c r="X100" s="18">
        <f t="shared" si="51"/>
        <v>9.022558314901854</v>
      </c>
      <c r="Y100" s="20">
        <f t="shared" si="39"/>
        <v>9785.0243406346817</v>
      </c>
      <c r="Z100" s="20">
        <f>(SUM(Y$3:Y100)/($B100-$B$3+1))</f>
        <v>7363.890908701841</v>
      </c>
      <c r="AA100" s="21">
        <f>SUM(Y$3:Y100)/1000</f>
        <v>721.66130905278044</v>
      </c>
      <c r="AB100" s="20">
        <f t="shared" si="40"/>
        <v>3499.8278739691191</v>
      </c>
      <c r="AC100" s="20">
        <f>(SUM(AB$3:AB100)/($B100-$B$3+1))</f>
        <v>3420.6123114122797</v>
      </c>
      <c r="AD100" s="18">
        <f t="shared" si="58"/>
        <v>7.9271021692730139</v>
      </c>
      <c r="AE100" s="18">
        <f t="shared" si="58"/>
        <v>6.9532105712823364</v>
      </c>
      <c r="AF100" s="20">
        <f t="shared" si="41"/>
        <v>7440.1563702776748</v>
      </c>
      <c r="AG100" s="20">
        <f>(SUM(AF$3:AF100)/($B100-$B$3+1))</f>
        <v>5599.2195775012397</v>
      </c>
      <c r="AH100" s="22">
        <f>SUM(AF$3:AF100)/1000</f>
        <v>548.7235185951215</v>
      </c>
      <c r="AI100" s="20">
        <v>2661.1345812654095</v>
      </c>
      <c r="AJ100" s="20">
        <f>(SUM(AI$3:AI100)/($B100-$B$3+1))</f>
        <v>2600.9021125596478</v>
      </c>
      <c r="AK100" s="21">
        <f>SUM(AI$3:AI100)/1000</f>
        <v>254.88840703084549</v>
      </c>
      <c r="AL100" s="23">
        <f t="shared" si="52"/>
        <v>1.9087044602180754</v>
      </c>
      <c r="AM100" s="23">
        <f t="shared" si="53"/>
        <v>2.1013070012569455</v>
      </c>
      <c r="AN100" s="24">
        <f t="shared" si="42"/>
        <v>0.66801370730404019</v>
      </c>
      <c r="AO100" s="24">
        <f t="shared" si="43"/>
        <v>0.73542128147655206</v>
      </c>
      <c r="AP100" s="24">
        <f t="shared" si="56"/>
        <v>0.70171749439029618</v>
      </c>
      <c r="AQ100" s="24">
        <f>(SUM(AP$3:AP100)/($B100-$B$3+1))</f>
        <v>0.94811534766362127</v>
      </c>
      <c r="AR100" s="21">
        <f t="shared" si="59"/>
        <v>19.899079684109463</v>
      </c>
      <c r="AS100" s="21">
        <f t="shared" si="59"/>
        <v>19.215634807455697</v>
      </c>
      <c r="AT100" s="21">
        <f t="shared" si="57"/>
        <v>19.55735724578258</v>
      </c>
      <c r="AU100" s="21">
        <f>(SUM(AT$3:AT100)/($B100-$B$3+1))</f>
        <v>19.335156720508682</v>
      </c>
      <c r="AV100" s="22">
        <f>SUM(AT$3:AT100)/1000</f>
        <v>1.8948453586098508</v>
      </c>
    </row>
    <row r="101" spans="1:48" ht="15.6">
      <c r="A101" s="17" t="s">
        <v>63</v>
      </c>
      <c r="B101" s="17">
        <v>158</v>
      </c>
      <c r="C101" s="18">
        <f t="shared" si="33"/>
        <v>115.82034793423895</v>
      </c>
      <c r="D101" s="18">
        <f t="shared" si="34"/>
        <v>108.45003703985127</v>
      </c>
      <c r="E101" s="18">
        <f t="shared" si="44"/>
        <v>112.13519248704512</v>
      </c>
      <c r="F101" s="19">
        <f t="shared" si="54"/>
        <v>0.98840639468814118</v>
      </c>
      <c r="G101" s="19">
        <f t="shared" si="54"/>
        <v>0.91917832927687471</v>
      </c>
      <c r="H101" s="19">
        <f t="shared" si="45"/>
        <v>0.95379236198250794</v>
      </c>
      <c r="I101" s="19">
        <f>(SUM(H$3:H101)/($B101-$B$3+1))</f>
        <v>0.92173189154057311</v>
      </c>
      <c r="J101" s="19"/>
      <c r="K101" s="19">
        <f t="shared" si="46"/>
        <v>2.9826381968352895</v>
      </c>
      <c r="L101" s="19">
        <f t="shared" si="47"/>
        <v>2.6199157579846073</v>
      </c>
      <c r="M101" s="19">
        <f t="shared" si="48"/>
        <v>2.8012769774099482</v>
      </c>
      <c r="N101" s="19">
        <f>(SUM(M$3:M101)/($B101-$B$3+1))</f>
        <v>2.1519285763821734</v>
      </c>
      <c r="O101" s="19">
        <f t="shared" si="60"/>
        <v>3.0176233307114146</v>
      </c>
      <c r="P101" s="19">
        <f t="shared" si="61"/>
        <v>2.8502801627685423</v>
      </c>
      <c r="Q101" s="19">
        <f t="shared" si="49"/>
        <v>2.9339517467399787</v>
      </c>
      <c r="R101" s="19">
        <f>(SUM(Q$3:Q101)/($B101-$B$3+1))</f>
        <v>2.2990242455357217</v>
      </c>
      <c r="S101" s="19">
        <f t="shared" si="62"/>
        <v>10.688791668934087</v>
      </c>
      <c r="T101" s="19">
        <f t="shared" si="63"/>
        <v>9.8450723283727903</v>
      </c>
      <c r="U101" s="19">
        <f t="shared" si="55"/>
        <v>10.266931998653439</v>
      </c>
      <c r="V101" s="19">
        <f>(SUM(U$3:U101)/($B101-$B$3+1))</f>
        <v>7.8821022590235197</v>
      </c>
      <c r="W101" s="18">
        <f t="shared" si="50"/>
        <v>10.56487003706378</v>
      </c>
      <c r="X101" s="18">
        <f t="shared" si="51"/>
        <v>9.0493771344036915</v>
      </c>
      <c r="Y101" s="20">
        <f t="shared" si="39"/>
        <v>9807.123585733736</v>
      </c>
      <c r="Z101" s="20">
        <f>(SUM(Y$3:Y101)/($B101-$B$3+1))</f>
        <v>7388.5700266516578</v>
      </c>
      <c r="AA101" s="21">
        <f>SUM(Y$3:Y101)/1000</f>
        <v>731.46843263851406</v>
      </c>
      <c r="AB101" s="20">
        <f t="shared" si="40"/>
        <v>3500.9474838869278</v>
      </c>
      <c r="AC101" s="20">
        <f>(SUM(AB$3:AB101)/($B101-$B$3+1))</f>
        <v>3421.4237778009124</v>
      </c>
      <c r="AD101" s="18">
        <f t="shared" si="58"/>
        <v>7.9397407937840043</v>
      </c>
      <c r="AE101" s="18">
        <f t="shared" si="58"/>
        <v>6.9741787797189687</v>
      </c>
      <c r="AF101" s="20">
        <f t="shared" si="41"/>
        <v>7456.9597867514867</v>
      </c>
      <c r="AG101" s="20">
        <f>(SUM(AF$3:AF101)/($B101-$B$3+1))</f>
        <v>5617.9846301199295</v>
      </c>
      <c r="AH101" s="22">
        <f>SUM(AF$3:AF101)/1000</f>
        <v>556.18047838187294</v>
      </c>
      <c r="AI101" s="20">
        <v>2661.9858896088767</v>
      </c>
      <c r="AJ101" s="20">
        <f>(SUM(AI$3:AI101)/($B101-$B$3+1))</f>
        <v>2601.51912040863</v>
      </c>
      <c r="AK101" s="21">
        <f>SUM(AI$3:AI101)/1000</f>
        <v>257.55039292045439</v>
      </c>
      <c r="AL101" s="23">
        <f t="shared" si="52"/>
        <v>1.9022672171770525</v>
      </c>
      <c r="AM101" s="23">
        <f t="shared" si="53"/>
        <v>2.0963229503118734</v>
      </c>
      <c r="AN101" s="24">
        <f t="shared" si="42"/>
        <v>0.66597376276565901</v>
      </c>
      <c r="AO101" s="24">
        <f t="shared" si="43"/>
        <v>0.73391165583087747</v>
      </c>
      <c r="AP101" s="24">
        <f t="shared" si="56"/>
        <v>0.69994270929826818</v>
      </c>
      <c r="AQ101" s="24">
        <f>(SUM(AP$3:AP101)/($B101-$B$3+1))</f>
        <v>0.94560855333669847</v>
      </c>
      <c r="AR101" s="21">
        <f t="shared" si="59"/>
        <v>19.863587829149779</v>
      </c>
      <c r="AS101" s="21">
        <f t="shared" si="59"/>
        <v>19.227867120798916</v>
      </c>
      <c r="AT101" s="21">
        <f t="shared" si="57"/>
        <v>19.545727474974349</v>
      </c>
      <c r="AU101" s="21">
        <f>(SUM(AT$3:AT101)/($B101-$B$3+1))</f>
        <v>19.337283697826518</v>
      </c>
      <c r="AV101" s="22">
        <f>SUM(AT$3:AT101)/1000</f>
        <v>1.9143910860848252</v>
      </c>
    </row>
    <row r="102" spans="1:48" ht="15.6">
      <c r="A102" s="17" t="s">
        <v>63</v>
      </c>
      <c r="B102" s="17">
        <v>159</v>
      </c>
      <c r="C102" s="18">
        <f t="shared" si="33"/>
        <v>116.80875432892709</v>
      </c>
      <c r="D102" s="18">
        <f t="shared" si="34"/>
        <v>109.36921536912814</v>
      </c>
      <c r="E102" s="18">
        <f t="shared" si="44"/>
        <v>113.08898484902761</v>
      </c>
      <c r="F102" s="19">
        <f t="shared" si="54"/>
        <v>0.98533337752030548</v>
      </c>
      <c r="G102" s="19">
        <f t="shared" si="54"/>
        <v>0.9170366018002909</v>
      </c>
      <c r="H102" s="19">
        <f t="shared" si="45"/>
        <v>0.95118498966029819</v>
      </c>
      <c r="I102" s="19">
        <f>(SUM(H$3:H102)/($B102-$B$3+1))</f>
        <v>0.92202642252177047</v>
      </c>
      <c r="J102" s="19"/>
      <c r="K102" s="19">
        <f t="shared" si="46"/>
        <v>2.986284820779991</v>
      </c>
      <c r="L102" s="19">
        <f t="shared" si="47"/>
        <v>2.6268404544205466</v>
      </c>
      <c r="M102" s="19">
        <f t="shared" si="48"/>
        <v>2.806562637600269</v>
      </c>
      <c r="N102" s="19">
        <f>(SUM(M$3:M102)/($B102-$B$3+1))</f>
        <v>2.1584749169943547</v>
      </c>
      <c r="O102" s="19">
        <f t="shared" si="60"/>
        <v>3.030735473810183</v>
      </c>
      <c r="P102" s="19">
        <f t="shared" si="61"/>
        <v>2.8644881232260899</v>
      </c>
      <c r="Q102" s="19">
        <f t="shared" si="49"/>
        <v>2.9476117985181363</v>
      </c>
      <c r="R102" s="19">
        <f>(SUM(Q$3:Q102)/($B102-$B$3+1))</f>
        <v>2.305510121065546</v>
      </c>
      <c r="S102" s="19">
        <f t="shared" si="62"/>
        <v>10.739159118461577</v>
      </c>
      <c r="T102" s="19">
        <f t="shared" si="63"/>
        <v>9.8968509010197323</v>
      </c>
      <c r="U102" s="19">
        <f t="shared" si="55"/>
        <v>10.318005009740656</v>
      </c>
      <c r="V102" s="19">
        <f>(SUM(U$3:U102)/($B102-$B$3+1))</f>
        <v>7.9064612865306909</v>
      </c>
      <c r="W102" s="18">
        <f t="shared" si="50"/>
        <v>10.581651925921733</v>
      </c>
      <c r="X102" s="18">
        <f t="shared" si="51"/>
        <v>9.0757745187952832</v>
      </c>
      <c r="Y102" s="20">
        <f t="shared" si="39"/>
        <v>9828.7132223585086</v>
      </c>
      <c r="Z102" s="20">
        <f>(SUM(Y$3:Y102)/($B102-$B$3+1))</f>
        <v>7412.9714586087257</v>
      </c>
      <c r="AA102" s="21">
        <f>SUM(Y$3:Y102)/1000</f>
        <v>741.29714586087255</v>
      </c>
      <c r="AB102" s="20">
        <f t="shared" si="40"/>
        <v>3502.0466283847054</v>
      </c>
      <c r="AC102" s="20">
        <f>(SUM(AB$3:AB102)/($B102-$B$3+1))</f>
        <v>3422.2300063067501</v>
      </c>
      <c r="AD102" s="18">
        <f t="shared" si="58"/>
        <v>7.9519438345208497</v>
      </c>
      <c r="AE102" s="18">
        <f t="shared" si="58"/>
        <v>6.9948075985409615</v>
      </c>
      <c r="AF102" s="20">
        <f t="shared" si="41"/>
        <v>7473.3757165309053</v>
      </c>
      <c r="AG102" s="20">
        <f>(SUM(AF$3:AF102)/($B102-$B$3+1))</f>
        <v>5636.5385409840392</v>
      </c>
      <c r="AH102" s="22">
        <f>SUM(AF$3:AF102)/1000</f>
        <v>563.65385409840394</v>
      </c>
      <c r="AI102" s="20">
        <v>2662.8216368336471</v>
      </c>
      <c r="AJ102" s="20">
        <f>(SUM(AI$3:AI102)/($B102-$B$3+1))</f>
        <v>2602.1321455728803</v>
      </c>
      <c r="AK102" s="21">
        <f>SUM(AI$3:AI102)/1000</f>
        <v>260.21321455728804</v>
      </c>
      <c r="AL102" s="23">
        <f t="shared" si="52"/>
        <v>1.8961348496392922</v>
      </c>
      <c r="AM102" s="23">
        <f t="shared" si="53"/>
        <v>2.0916790869867086</v>
      </c>
      <c r="AN102" s="24">
        <f t="shared" si="42"/>
        <v>0.66403526571420246</v>
      </c>
      <c r="AO102" s="24">
        <f t="shared" si="43"/>
        <v>0.73251576942446017</v>
      </c>
      <c r="AP102" s="24">
        <f t="shared" si="56"/>
        <v>0.69827551756933137</v>
      </c>
      <c r="AQ102" s="24">
        <f>(SUM(AP$3:AP102)/($B102-$B$3+1))</f>
        <v>0.94313522297902486</v>
      </c>
      <c r="AR102" s="21">
        <f t="shared" si="59"/>
        <v>19.829984344649308</v>
      </c>
      <c r="AS102" s="21">
        <f t="shared" si="59"/>
        <v>19.242020566251654</v>
      </c>
      <c r="AT102" s="21">
        <f t="shared" si="57"/>
        <v>19.536002455450479</v>
      </c>
      <c r="AU102" s="21">
        <f>(SUM(AT$3:AT102)/($B102-$B$3+1))</f>
        <v>19.339270885402758</v>
      </c>
      <c r="AV102" s="22">
        <f>SUM(AT$3:AT102)/1000</f>
        <v>1.9339270885402757</v>
      </c>
    </row>
    <row r="103" spans="1:48" ht="15.6">
      <c r="A103" s="17" t="s">
        <v>63</v>
      </c>
      <c r="B103" s="17">
        <v>160</v>
      </c>
      <c r="C103" s="18">
        <f t="shared" si="33"/>
        <v>117.7940877064474</v>
      </c>
      <c r="D103" s="18">
        <f t="shared" si="34"/>
        <v>110.28625197092843</v>
      </c>
      <c r="E103" s="18">
        <f t="shared" si="44"/>
        <v>114.04016983868792</v>
      </c>
      <c r="F103" s="19">
        <f t="shared" si="54"/>
        <v>0.9821990269395684</v>
      </c>
      <c r="G103" s="19">
        <f t="shared" si="54"/>
        <v>0.91484269103678173</v>
      </c>
      <c r="H103" s="19">
        <f t="shared" si="45"/>
        <v>0.94852085898817506</v>
      </c>
      <c r="I103" s="19">
        <f>(SUM(H$3:H103)/($B103-$B$3+1))</f>
        <v>0.9222887436749031</v>
      </c>
      <c r="J103" s="19"/>
      <c r="K103" s="19">
        <f t="shared" si="46"/>
        <v>2.9897883712822071</v>
      </c>
      <c r="L103" s="19">
        <f t="shared" si="47"/>
        <v>2.6336504211476313</v>
      </c>
      <c r="M103" s="19">
        <f t="shared" si="48"/>
        <v>2.8117193962149192</v>
      </c>
      <c r="N103" s="19">
        <f>(SUM(M$3:M103)/($B103-$B$3+1))</f>
        <v>2.1649426841153505</v>
      </c>
      <c r="O103" s="19">
        <f t="shared" si="60"/>
        <v>3.0439740717297203</v>
      </c>
      <c r="P103" s="19">
        <f t="shared" si="61"/>
        <v>2.8788014015425345</v>
      </c>
      <c r="Q103" s="19">
        <f t="shared" si="49"/>
        <v>2.9613877366361274</v>
      </c>
      <c r="R103" s="19">
        <f>(SUM(Q$3:Q103)/($B103-$B$3+1))</f>
        <v>2.3120039588434724</v>
      </c>
      <c r="S103" s="19">
        <f t="shared" si="62"/>
        <v>10.789926411146073</v>
      </c>
      <c r="T103" s="19">
        <f t="shared" si="63"/>
        <v>9.9489855775546676</v>
      </c>
      <c r="U103" s="19">
        <f t="shared" si="55"/>
        <v>10.369455994350371</v>
      </c>
      <c r="V103" s="19">
        <f>(SUM(U$3:U103)/($B103-$B$3+1))</f>
        <v>7.9308473727467277</v>
      </c>
      <c r="W103" s="18">
        <f t="shared" si="50"/>
        <v>10.597855221777223</v>
      </c>
      <c r="X103" s="18">
        <f t="shared" si="51"/>
        <v>9.1017567388562419</v>
      </c>
      <c r="Y103" s="20">
        <f t="shared" si="39"/>
        <v>9849.8059803167325</v>
      </c>
      <c r="Z103" s="20">
        <f>(SUM(Y$3:Y103)/($B103-$B$3+1))</f>
        <v>7437.0985330810818</v>
      </c>
      <c r="AA103" s="21">
        <f>SUM(Y$3:Y103)/1000</f>
        <v>751.14695184118932</v>
      </c>
      <c r="AB103" s="20">
        <f t="shared" si="40"/>
        <v>3503.1255229722942</v>
      </c>
      <c r="AC103" s="20">
        <f>(SUM(AB$3:AB103)/($B103-$B$3+1))</f>
        <v>3423.03095201631</v>
      </c>
      <c r="AD103" s="18">
        <f t="shared" si="58"/>
        <v>7.9637258374089823</v>
      </c>
      <c r="AE103" s="18">
        <f t="shared" si="58"/>
        <v>7.0151018403358183</v>
      </c>
      <c r="AF103" s="20">
        <f t="shared" si="41"/>
        <v>7489.4138388723995</v>
      </c>
      <c r="AG103" s="20">
        <f>(SUM(AF$3:AF103)/($B103-$B$3+1))</f>
        <v>5654.8838409631326</v>
      </c>
      <c r="AH103" s="22">
        <f>SUM(AF$3:AF103)/1000</f>
        <v>571.14326793727639</v>
      </c>
      <c r="AI103" s="20">
        <v>2663.6419868051203</v>
      </c>
      <c r="AJ103" s="20">
        <f>(SUM(AI$3:AI103)/($B103-$B$3+1))</f>
        <v>2602.7411539019126</v>
      </c>
      <c r="AK103" s="21">
        <f>SUM(AI$3:AI103)/1000</f>
        <v>262.87685654409319</v>
      </c>
      <c r="AL103" s="23">
        <f t="shared" si="52"/>
        <v>1.8903051195378704</v>
      </c>
      <c r="AM103" s="23">
        <f t="shared" si="53"/>
        <v>2.0873734137520397</v>
      </c>
      <c r="AN103" s="24">
        <f t="shared" si="42"/>
        <v>0.66219761104583075</v>
      </c>
      <c r="AO103" s="24">
        <f t="shared" si="43"/>
        <v>0.73123310816885767</v>
      </c>
      <c r="AP103" s="24">
        <f t="shared" si="56"/>
        <v>0.69671535960734421</v>
      </c>
      <c r="AQ103" s="24">
        <f>(SUM(AP$3:AP103)/($B103-$B$3+1))</f>
        <v>0.94069542235158232</v>
      </c>
      <c r="AR103" s="21">
        <f t="shared" si="59"/>
        <v>19.798307169956828</v>
      </c>
      <c r="AS103" s="21">
        <f t="shared" si="59"/>
        <v>19.258123832860033</v>
      </c>
      <c r="AT103" s="21">
        <f t="shared" si="57"/>
        <v>19.528215501408432</v>
      </c>
      <c r="AU103" s="21">
        <f>(SUM(AT$3:AT103)/($B103-$B$3+1))</f>
        <v>19.341141624175091</v>
      </c>
      <c r="AV103" s="22">
        <f>SUM(AT$3:AT103)/1000</f>
        <v>1.953455304041684</v>
      </c>
    </row>
    <row r="104" spans="1:48" ht="15.6">
      <c r="A104" s="17" t="s">
        <v>63</v>
      </c>
      <c r="B104" s="17">
        <v>161</v>
      </c>
      <c r="C104" s="18">
        <f t="shared" si="33"/>
        <v>118.77628673338697</v>
      </c>
      <c r="D104" s="18">
        <f t="shared" si="34"/>
        <v>111.20109466196521</v>
      </c>
      <c r="E104" s="18">
        <f t="shared" si="44"/>
        <v>114.98869069767609</v>
      </c>
      <c r="F104" s="19">
        <f t="shared" si="54"/>
        <v>0.97900515099352958</v>
      </c>
      <c r="G104" s="19">
        <f t="shared" si="54"/>
        <v>0.91259787139210857</v>
      </c>
      <c r="H104" s="19">
        <f t="shared" si="45"/>
        <v>0.94580151119281908</v>
      </c>
      <c r="I104" s="19">
        <f>(SUM(H$3:H104)/($B104-$B$3+1))</f>
        <v>0.92251926100351012</v>
      </c>
      <c r="J104" s="19"/>
      <c r="K104" s="19">
        <f t="shared" si="46"/>
        <v>2.9931541603591039</v>
      </c>
      <c r="L104" s="19">
        <f t="shared" si="47"/>
        <v>2.6403475140153447</v>
      </c>
      <c r="M104" s="19">
        <f t="shared" si="48"/>
        <v>2.8167508371872243</v>
      </c>
      <c r="N104" s="19">
        <f>(SUM(M$3:M104)/($B104-$B$3+1))</f>
        <v>2.1713329601258589</v>
      </c>
      <c r="O104" s="19">
        <f t="shared" si="60"/>
        <v>3.0573426067488447</v>
      </c>
      <c r="P104" s="19">
        <f t="shared" si="61"/>
        <v>2.8932212059487568</v>
      </c>
      <c r="Q104" s="19">
        <f t="shared" si="49"/>
        <v>2.9752819063488007</v>
      </c>
      <c r="R104" s="19">
        <f>(SUM(Q$3:Q104)/($B104-$B$3+1))</f>
        <v>2.3185066838190154</v>
      </c>
      <c r="S104" s="19">
        <f t="shared" si="62"/>
        <v>10.841106011999695</v>
      </c>
      <c r="T104" s="19">
        <f t="shared" si="63"/>
        <v>10.001480717443306</v>
      </c>
      <c r="U104" s="19">
        <f t="shared" si="55"/>
        <v>10.4212933647215</v>
      </c>
      <c r="V104" s="19">
        <f>(SUM(U$3:U104)/($B104-$B$3+1))</f>
        <v>7.9552635099229505</v>
      </c>
      <c r="W104" s="18">
        <f t="shared" si="50"/>
        <v>10.613498628214623</v>
      </c>
      <c r="X104" s="18">
        <f t="shared" si="51"/>
        <v>9.1273300135079793</v>
      </c>
      <c r="Y104" s="20">
        <f t="shared" si="39"/>
        <v>9870.4143208613004</v>
      </c>
      <c r="Z104" s="20">
        <f>(SUM(Y$3:Y104)/($B104-$B$3+1))</f>
        <v>7460.9545702161822</v>
      </c>
      <c r="AA104" s="21">
        <f>SUM(Y$3:Y104)/1000</f>
        <v>761.01736616205062</v>
      </c>
      <c r="AB104" s="20">
        <f t="shared" si="40"/>
        <v>3504.1843923681176</v>
      </c>
      <c r="AC104" s="20">
        <f>(SUM(AB$3:AB104)/($B104-$B$3+1))</f>
        <v>3423.8265739805438</v>
      </c>
      <c r="AD104" s="18">
        <f t="shared" si="58"/>
        <v>7.9751009535222614</v>
      </c>
      <c r="AE104" s="18">
        <f t="shared" si="58"/>
        <v>7.0350663041450527</v>
      </c>
      <c r="AF104" s="20">
        <f t="shared" si="41"/>
        <v>7505.0836288336568</v>
      </c>
      <c r="AG104" s="20">
        <f>(SUM(AF$3:AF104)/($B104-$B$3+1))</f>
        <v>5673.0230545697059</v>
      </c>
      <c r="AH104" s="22">
        <f>SUM(AF$3:AF104)/1000</f>
        <v>578.64835156611002</v>
      </c>
      <c r="AI104" s="20">
        <v>2664.447110390548</v>
      </c>
      <c r="AJ104" s="20">
        <f>(SUM(AI$3:AI104)/($B104-$B$3+1))</f>
        <v>2603.3461142596439</v>
      </c>
      <c r="AK104" s="21">
        <f>SUM(AI$3:AI104)/1000</f>
        <v>265.54130365448367</v>
      </c>
      <c r="AL104" s="23">
        <f t="shared" si="52"/>
        <v>1.8847757143293347</v>
      </c>
      <c r="AM104" s="23">
        <f t="shared" si="53"/>
        <v>2.0834038567245043</v>
      </c>
      <c r="AN104" s="24">
        <f t="shared" si="42"/>
        <v>0.66046016412673247</v>
      </c>
      <c r="AO104" s="24">
        <f t="shared" si="43"/>
        <v>0.73006312777335503</v>
      </c>
      <c r="AP104" s="24">
        <f t="shared" si="56"/>
        <v>0.69526164595004381</v>
      </c>
      <c r="AQ104" s="24">
        <f>(SUM(AP$3:AP104)/($B104-$B$3+1))</f>
        <v>0.9382892088574496</v>
      </c>
      <c r="AR104" s="21">
        <f t="shared" si="59"/>
        <v>19.768590880073859</v>
      </c>
      <c r="AS104" s="21">
        <f t="shared" si="59"/>
        <v>19.276203644906449</v>
      </c>
      <c r="AT104" s="21">
        <f t="shared" si="57"/>
        <v>19.522397262490152</v>
      </c>
      <c r="AU104" s="21">
        <f>(SUM(AT$3:AT104)/($B104-$B$3+1))</f>
        <v>19.342918640237002</v>
      </c>
      <c r="AV104" s="22">
        <f>SUM(AT$3:AT104)/1000</f>
        <v>1.9729777013041743</v>
      </c>
    </row>
    <row r="105" spans="1:48" ht="15.6">
      <c r="A105" s="17" t="s">
        <v>63</v>
      </c>
      <c r="B105" s="17">
        <v>162</v>
      </c>
      <c r="C105" s="18">
        <f t="shared" si="33"/>
        <v>119.7552918843805</v>
      </c>
      <c r="D105" s="18">
        <f t="shared" si="34"/>
        <v>112.11369253335732</v>
      </c>
      <c r="E105" s="18">
        <f t="shared" si="44"/>
        <v>115.9344922088689</v>
      </c>
      <c r="F105" s="19">
        <f t="shared" si="54"/>
        <v>0.97575353723189551</v>
      </c>
      <c r="G105" s="19">
        <f t="shared" si="54"/>
        <v>0.91030340486184969</v>
      </c>
      <c r="H105" s="19">
        <f t="shared" si="45"/>
        <v>0.9430284710468726</v>
      </c>
      <c r="I105" s="19">
        <f>(SUM(H$3:H105)/($B105-$B$3+1))</f>
        <v>0.92271837954762037</v>
      </c>
      <c r="J105" s="19"/>
      <c r="K105" s="19">
        <f t="shared" si="46"/>
        <v>2.9963873338403912</v>
      </c>
      <c r="L105" s="19">
        <f t="shared" si="47"/>
        <v>2.6469335684896671</v>
      </c>
      <c r="M105" s="19">
        <f t="shared" si="48"/>
        <v>2.8216604511650294</v>
      </c>
      <c r="N105" s="19">
        <f>(SUM(M$3:M105)/($B105-$B$3+1))</f>
        <v>2.1776468192621614</v>
      </c>
      <c r="O105" s="19">
        <f t="shared" si="60"/>
        <v>3.0708444494506364</v>
      </c>
      <c r="P105" s="19">
        <f t="shared" si="61"/>
        <v>2.907748728998079</v>
      </c>
      <c r="Q105" s="19">
        <f t="shared" si="49"/>
        <v>2.9892965892243577</v>
      </c>
      <c r="R105" s="19">
        <f>(SUM(Q$3:Q105)/($B105-$B$3+1))</f>
        <v>2.3250192071724651</v>
      </c>
      <c r="S105" s="19">
        <f t="shared" si="62"/>
        <v>10.892710054853184</v>
      </c>
      <c r="T105" s="19">
        <f t="shared" si="63"/>
        <v>10.054340628738009</v>
      </c>
      <c r="U105" s="19">
        <f t="shared" si="55"/>
        <v>10.473525341795597</v>
      </c>
      <c r="V105" s="19">
        <f>(SUM(U$3:U105)/($B105-$B$3+1))</f>
        <v>7.9797126539217142</v>
      </c>
      <c r="W105" s="18">
        <f t="shared" si="50"/>
        <v>10.628600366064429</v>
      </c>
      <c r="X105" s="18">
        <f t="shared" si="51"/>
        <v>9.1525005079810402</v>
      </c>
      <c r="Y105" s="20">
        <f t="shared" si="39"/>
        <v>9890.5504370227354</v>
      </c>
      <c r="Z105" s="20">
        <f>(SUM(Y$3:Y105)/($B105-$B$3+1))</f>
        <v>7484.5428796026536</v>
      </c>
      <c r="AA105" s="21">
        <f>SUM(Y$3:Y105)/1000</f>
        <v>770.90791659907336</v>
      </c>
      <c r="AB105" s="20">
        <f t="shared" si="40"/>
        <v>3505.2234697265035</v>
      </c>
      <c r="AC105" s="20">
        <f>(SUM(AB$3:AB105)/($B105-$B$3+1))</f>
        <v>3424.6168351042907</v>
      </c>
      <c r="AD105" s="18">
        <f t="shared" si="58"/>
        <v>7.9860829424294382</v>
      </c>
      <c r="AE105" s="18">
        <f t="shared" si="58"/>
        <v>7.0547057726233211</v>
      </c>
      <c r="AF105" s="20">
        <f t="shared" si="41"/>
        <v>7520.3943575263793</v>
      </c>
      <c r="AG105" s="20">
        <f>(SUM(AF$3:AF105)/($B105-$B$3+1))</f>
        <v>5690.9586982877317</v>
      </c>
      <c r="AH105" s="22">
        <f>SUM(AF$3:AF105)/1000</f>
        <v>586.16874592363638</v>
      </c>
      <c r="AI105" s="20">
        <v>2665.2371848715179</v>
      </c>
      <c r="AJ105" s="20">
        <f>(SUM(AI$3:AI105)/($B105-$B$3+1))</f>
        <v>2603.9469984403418</v>
      </c>
      <c r="AK105" s="21">
        <f>SUM(AI$3:AI105)/1000</f>
        <v>268.20654083935523</v>
      </c>
      <c r="AL105" s="23">
        <f t="shared" si="52"/>
        <v>1.8795442502795248</v>
      </c>
      <c r="AM105" s="23">
        <f t="shared" si="53"/>
        <v>2.0797682684465726</v>
      </c>
      <c r="AN105" s="24">
        <f t="shared" si="42"/>
        <v>0.65882226184692949</v>
      </c>
      <c r="AO105" s="24">
        <f t="shared" si="43"/>
        <v>0.72900525461513777</v>
      </c>
      <c r="AP105" s="24">
        <f t="shared" si="56"/>
        <v>0.69391375823103363</v>
      </c>
      <c r="AQ105" s="24">
        <f>(SUM(AP$3:AP105)/($B105-$B$3+1))</f>
        <v>0.93591663166690187</v>
      </c>
      <c r="AR105" s="21">
        <f t="shared" si="59"/>
        <v>19.740866806502172</v>
      </c>
      <c r="AS105" s="21">
        <f t="shared" si="59"/>
        <v>19.296284800461649</v>
      </c>
      <c r="AT105" s="21">
        <f t="shared" si="57"/>
        <v>19.518575803481909</v>
      </c>
      <c r="AU105" s="21">
        <f>(SUM(AT$3:AT105)/($B105-$B$3+1))</f>
        <v>19.344624049588894</v>
      </c>
      <c r="AV105" s="22">
        <f>SUM(AT$3:AT105)/1000</f>
        <v>1.9924962771076562</v>
      </c>
    </row>
    <row r="106" spans="1:48" ht="15.6">
      <c r="A106" s="17" t="s">
        <v>63</v>
      </c>
      <c r="B106" s="17">
        <v>163</v>
      </c>
      <c r="C106" s="18">
        <f t="shared" si="33"/>
        <v>120.73104542161239</v>
      </c>
      <c r="D106" s="18">
        <f t="shared" si="34"/>
        <v>113.02399593821917</v>
      </c>
      <c r="E106" s="18">
        <f t="shared" si="44"/>
        <v>116.87752067991579</v>
      </c>
      <c r="F106" s="19">
        <f t="shared" si="54"/>
        <v>0.97244595230529285</v>
      </c>
      <c r="G106" s="19">
        <f t="shared" si="54"/>
        <v>0.90796054079737587</v>
      </c>
      <c r="H106" s="19">
        <f t="shared" si="45"/>
        <v>0.94020324655133436</v>
      </c>
      <c r="I106" s="19">
        <f>(SUM(H$3:H106)/($B106-$B$3+1))</f>
        <v>0.92288650326880994</v>
      </c>
      <c r="J106" s="19"/>
      <c r="K106" s="19">
        <f t="shared" si="46"/>
        <v>2.9994928740772879</v>
      </c>
      <c r="L106" s="19">
        <f t="shared" si="47"/>
        <v>2.6534103993285512</v>
      </c>
      <c r="M106" s="19">
        <f t="shared" si="48"/>
        <v>2.8264516367029193</v>
      </c>
      <c r="N106" s="19">
        <f>(SUM(M$3:M106)/($B106-$B$3+1))</f>
        <v>2.183885327122169</v>
      </c>
      <c r="O106" s="19">
        <f t="shared" si="60"/>
        <v>3.0844828619695024</v>
      </c>
      <c r="P106" s="19">
        <f t="shared" si="61"/>
        <v>2.9223851479253842</v>
      </c>
      <c r="Q106" s="19">
        <f t="shared" si="49"/>
        <v>3.0034340049474433</v>
      </c>
      <c r="R106" s="19">
        <f>(SUM(Q$3:Q106)/($B106-$B$3+1))</f>
        <v>2.3315424263818398</v>
      </c>
      <c r="S106" s="19">
        <f t="shared" si="62"/>
        <v>10.94475034984513</v>
      </c>
      <c r="T106" s="19">
        <f t="shared" si="63"/>
        <v>10.107569569114469</v>
      </c>
      <c r="U106" s="19">
        <f t="shared" si="55"/>
        <v>10.526159959479799</v>
      </c>
      <c r="V106" s="19">
        <f>(SUM(U$3:U106)/($B106-$B$3+1))</f>
        <v>8.0041977241674651</v>
      </c>
      <c r="W106" s="18">
        <f t="shared" si="50"/>
        <v>10.643178176698834</v>
      </c>
      <c r="X106" s="18">
        <f t="shared" si="51"/>
        <v>9.1772743321202732</v>
      </c>
      <c r="Y106" s="20">
        <f t="shared" si="39"/>
        <v>9910.2262544095538</v>
      </c>
      <c r="Z106" s="20">
        <f>(SUM(Y$3:Y106)/($B106-$B$3+1))</f>
        <v>7507.8667582065664</v>
      </c>
      <c r="AA106" s="21">
        <f>SUM(Y$3:Y106)/1000</f>
        <v>780.81814285348287</v>
      </c>
      <c r="AB106" s="20">
        <f t="shared" si="40"/>
        <v>3506.2429958893335</v>
      </c>
      <c r="AC106" s="20">
        <f>(SUM(AB$3:AB106)/($B106-$B$3+1))</f>
        <v>3425.4017020349161</v>
      </c>
      <c r="AD106" s="18">
        <f t="shared" si="58"/>
        <v>7.9966851761298656</v>
      </c>
      <c r="AE106" s="18">
        <f t="shared" si="58"/>
        <v>7.0740250093198638</v>
      </c>
      <c r="AF106" s="20">
        <f t="shared" si="41"/>
        <v>7535.3550927248652</v>
      </c>
      <c r="AG106" s="20">
        <f>(SUM(AF$3:AF106)/($B106-$B$3+1))</f>
        <v>5708.6932790034734</v>
      </c>
      <c r="AH106" s="22">
        <f>SUM(AF$3:AF106)/1000</f>
        <v>593.70410101636128</v>
      </c>
      <c r="AI106" s="20">
        <v>2666.0123933749392</v>
      </c>
      <c r="AJ106" s="20">
        <f>(SUM(AI$3:AI106)/($B106-$B$3+1))</f>
        <v>2604.5437810839435</v>
      </c>
      <c r="AK106" s="21">
        <f>SUM(AI$3:AI106)/1000</f>
        <v>270.87255323273013</v>
      </c>
      <c r="AL106" s="23">
        <f t="shared" si="52"/>
        <v>1.8746082757028417</v>
      </c>
      <c r="AM106" s="23">
        <f t="shared" si="53"/>
        <v>2.0764644306352129</v>
      </c>
      <c r="AN106" s="24">
        <f t="shared" si="42"/>
        <v>0.65728321367192699</v>
      </c>
      <c r="AO106" s="24">
        <f t="shared" si="43"/>
        <v>0.72805888661280482</v>
      </c>
      <c r="AP106" s="24">
        <f t="shared" si="56"/>
        <v>0.69267105014236585</v>
      </c>
      <c r="AQ106" s="24">
        <f>(SUM(AP$3:AP106)/($B106-$B$3+1))</f>
        <v>0.93357773184455062</v>
      </c>
      <c r="AR106" s="21">
        <f t="shared" si="59"/>
        <v>19.715163156595644</v>
      </c>
      <c r="AS106" s="21">
        <f t="shared" si="59"/>
        <v>19.318390210619828</v>
      </c>
      <c r="AT106" s="21">
        <f t="shared" si="57"/>
        <v>19.516776683607738</v>
      </c>
      <c r="AU106" s="21">
        <f>(SUM(AT$3:AT106)/($B106-$B$3+1))</f>
        <v>19.346279363377537</v>
      </c>
      <c r="AV106" s="22">
        <f>SUM(AT$3:AT106)/1000</f>
        <v>2.0120130537912639</v>
      </c>
    </row>
    <row r="107" spans="1:48" ht="15.6">
      <c r="A107" s="17" t="s">
        <v>63</v>
      </c>
      <c r="B107" s="17">
        <v>164</v>
      </c>
      <c r="C107" s="18">
        <f t="shared" si="33"/>
        <v>121.70349137391769</v>
      </c>
      <c r="D107" s="18">
        <f t="shared" si="34"/>
        <v>113.93195647901655</v>
      </c>
      <c r="E107" s="18">
        <f t="shared" si="44"/>
        <v>117.81772392646712</v>
      </c>
      <c r="F107" s="19">
        <f t="shared" si="54"/>
        <v>0.96908414159317147</v>
      </c>
      <c r="G107" s="19">
        <f t="shared" si="54"/>
        <v>0.90557051568717384</v>
      </c>
      <c r="H107" s="19">
        <f t="shared" si="45"/>
        <v>0.93732732864017265</v>
      </c>
      <c r="I107" s="19">
        <f>(SUM(H$3:H107)/($B107-$B$3+1))</f>
        <v>0.9230240349390133</v>
      </c>
      <c r="J107" s="19"/>
      <c r="K107" s="19">
        <f t="shared" si="46"/>
        <v>3.0024756028133233</v>
      </c>
      <c r="L107" s="19">
        <f t="shared" si="47"/>
        <v>2.6597798002927071</v>
      </c>
      <c r="M107" s="19">
        <f t="shared" si="48"/>
        <v>2.8311277015530152</v>
      </c>
      <c r="N107" s="19">
        <f>(SUM(M$3:M107)/($B107-$B$3+1))</f>
        <v>2.1900495402119864</v>
      </c>
      <c r="O107" s="19">
        <f t="shared" si="60"/>
        <v>3.0982610012349001</v>
      </c>
      <c r="P107" s="19">
        <f t="shared" si="61"/>
        <v>2.9371316250003869</v>
      </c>
      <c r="Q107" s="19">
        <f t="shared" si="49"/>
        <v>3.0176963131176437</v>
      </c>
      <c r="R107" s="19">
        <f>(SUM(Q$3:Q107)/($B107-$B$3+1))</f>
        <v>2.3380772253031332</v>
      </c>
      <c r="S107" s="19">
        <f t="shared" si="62"/>
        <v>10.997238391020328</v>
      </c>
      <c r="T107" s="19">
        <f t="shared" si="63"/>
        <v>10.161171746896066</v>
      </c>
      <c r="U107" s="19">
        <f t="shared" si="55"/>
        <v>10.579205068958197</v>
      </c>
      <c r="V107" s="19">
        <f>(SUM(U$3:U107)/($B107-$B$3+1))</f>
        <v>8.0287216036416638</v>
      </c>
      <c r="W107" s="18">
        <f t="shared" si="50"/>
        <v>10.657249326057405</v>
      </c>
      <c r="X107" s="18">
        <f t="shared" si="51"/>
        <v>9.2016575388226123</v>
      </c>
      <c r="Y107" s="20">
        <f t="shared" si="39"/>
        <v>9929.4534324400101</v>
      </c>
      <c r="Z107" s="20">
        <f>(SUM(Y$3:Y107)/($B107-$B$3+1))</f>
        <v>7530.9294884373612</v>
      </c>
      <c r="AA107" s="21">
        <f>SUM(Y$3:Y107)/1000</f>
        <v>790.7475962859229</v>
      </c>
      <c r="AB107" s="20">
        <f t="shared" si="40"/>
        <v>3507.2432186627289</v>
      </c>
      <c r="AC107" s="20">
        <f>(SUM(AB$3:AB107)/($B107-$B$3+1))</f>
        <v>3426.1811450504192</v>
      </c>
      <c r="AD107" s="18">
        <f t="shared" si="58"/>
        <v>8.006920643523129</v>
      </c>
      <c r="AE107" s="18">
        <f t="shared" si="58"/>
        <v>7.0930287560819885</v>
      </c>
      <c r="AF107" s="20">
        <f t="shared" si="41"/>
        <v>7549.9746998025585</v>
      </c>
      <c r="AG107" s="20">
        <f>(SUM(AF$3:AF107)/($B107-$B$3+1))</f>
        <v>5726.2292925348938</v>
      </c>
      <c r="AH107" s="22">
        <f>SUM(AF$3:AF107)/1000</f>
        <v>601.25407571616381</v>
      </c>
      <c r="AI107" s="20">
        <v>2666.7729243230606</v>
      </c>
      <c r="AJ107" s="20">
        <f>(SUM(AI$3:AI107)/($B107-$B$3+1))</f>
        <v>2605.1364395909827</v>
      </c>
      <c r="AK107" s="21">
        <f>SUM(AI$3:AI107)/1000</f>
        <v>273.53932615705315</v>
      </c>
      <c r="AL107" s="23">
        <f t="shared" si="52"/>
        <v>1.8699652741532784</v>
      </c>
      <c r="AM107" s="23">
        <f t="shared" si="53"/>
        <v>2.073490056898164</v>
      </c>
      <c r="AN107" s="24">
        <f t="shared" si="42"/>
        <v>0.65584230269088761</v>
      </c>
      <c r="AO107" s="24">
        <f t="shared" si="43"/>
        <v>0.72722339410206804</v>
      </c>
      <c r="AP107" s="24">
        <f t="shared" si="56"/>
        <v>0.69153284839647777</v>
      </c>
      <c r="AQ107" s="24">
        <f>(SUM(AP$3:AP107)/($B107-$B$3+1))</f>
        <v>0.93127254247837843</v>
      </c>
      <c r="AR107" s="21">
        <f t="shared" si="59"/>
        <v>19.69150513122301</v>
      </c>
      <c r="AS107" s="21">
        <f t="shared" si="59"/>
        <v>19.34254093932983</v>
      </c>
      <c r="AT107" s="21">
        <f t="shared" si="57"/>
        <v>19.51702303527642</v>
      </c>
      <c r="AU107" s="21">
        <f>(SUM(AT$3:AT107)/($B107-$B$3+1))</f>
        <v>19.347905493586097</v>
      </c>
      <c r="AV107" s="22">
        <f>SUM(AT$3:AT107)/1000</f>
        <v>2.0315300768265403</v>
      </c>
    </row>
    <row r="108" spans="1:48" ht="15.6">
      <c r="A108" s="17" t="s">
        <v>63</v>
      </c>
      <c r="B108" s="17">
        <v>165</v>
      </c>
      <c r="C108" s="18">
        <f t="shared" si="33"/>
        <v>122.67257551551086</v>
      </c>
      <c r="D108" s="18">
        <f t="shared" si="34"/>
        <v>114.83752699470372</v>
      </c>
      <c r="E108" s="18">
        <f t="shared" si="44"/>
        <v>118.75505125510729</v>
      </c>
      <c r="F108" s="19">
        <f t="shared" si="54"/>
        <v>0.96566982886049857</v>
      </c>
      <c r="G108" s="19">
        <f t="shared" si="54"/>
        <v>0.90313455295228096</v>
      </c>
      <c r="H108" s="19">
        <f t="shared" si="45"/>
        <v>0.93440219090638976</v>
      </c>
      <c r="I108" s="19">
        <f>(SUM(H$3:H108)/($B108-$B$3+1))</f>
        <v>0.92313137603304518</v>
      </c>
      <c r="J108" s="19"/>
      <c r="K108" s="19">
        <f t="shared" si="46"/>
        <v>3.0053401841960836</v>
      </c>
      <c r="L108" s="19">
        <f t="shared" si="47"/>
        <v>2.6660435438900945</v>
      </c>
      <c r="M108" s="19">
        <f t="shared" si="48"/>
        <v>2.8356918640430893</v>
      </c>
      <c r="N108" s="19">
        <f>(SUM(M$3:M108)/($B108-$B$3+1))</f>
        <v>2.1961405055311478</v>
      </c>
      <c r="O108" s="19">
        <f t="shared" si="60"/>
        <v>3.1121819222025602</v>
      </c>
      <c r="P108" s="19">
        <f t="shared" si="61"/>
        <v>2.9519893078777604</v>
      </c>
      <c r="Q108" s="19">
        <f t="shared" si="49"/>
        <v>3.0320856150401605</v>
      </c>
      <c r="R108" s="19">
        <f>(SUM(Q$3:Q108)/($B108-$B$3+1))</f>
        <v>2.3446244742629165</v>
      </c>
      <c r="S108" s="19">
        <f t="shared" si="62"/>
        <v>11.050185364007811</v>
      </c>
      <c r="T108" s="19">
        <f t="shared" si="63"/>
        <v>10.215151322074815</v>
      </c>
      <c r="U108" s="19">
        <f t="shared" si="55"/>
        <v>10.632668343041313</v>
      </c>
      <c r="V108" s="19">
        <f>(SUM(U$3:U108)/($B108-$B$3+1))</f>
        <v>8.0532871389190195</v>
      </c>
      <c r="W108" s="18">
        <f t="shared" si="50"/>
        <v>10.670830609338209</v>
      </c>
      <c r="X108" s="18">
        <f t="shared" si="51"/>
        <v>9.22565612260194</v>
      </c>
      <c r="Y108" s="20">
        <f t="shared" si="39"/>
        <v>9948.2433659700746</v>
      </c>
      <c r="Z108" s="20">
        <f>(SUM(Y$3:Y108)/($B108-$B$3+1))</f>
        <v>7553.7343363386135</v>
      </c>
      <c r="AA108" s="21">
        <f>SUM(Y$3:Y108)/1000</f>
        <v>800.69583965189304</v>
      </c>
      <c r="AB108" s="20">
        <f t="shared" si="40"/>
        <v>3508.2243921192517</v>
      </c>
      <c r="AC108" s="20">
        <f>(SUM(AB$3:AB108)/($B108-$B$3+1))</f>
        <v>3426.9551379472955</v>
      </c>
      <c r="AD108" s="18">
        <f t="shared" si="58"/>
        <v>8.0168019553598437</v>
      </c>
      <c r="AE108" s="18">
        <f t="shared" si="58"/>
        <v>7.1117217305800029</v>
      </c>
      <c r="AF108" s="20">
        <f t="shared" si="41"/>
        <v>7564.2618429699232</v>
      </c>
      <c r="AG108" s="20">
        <f>(SUM(AF$3:AF108)/($B108-$B$3+1))</f>
        <v>5743.5692222559792</v>
      </c>
      <c r="AH108" s="22">
        <f>SUM(AF$3:AF108)/1000</f>
        <v>608.81833755913374</v>
      </c>
      <c r="AI108" s="20">
        <v>2667.5189709028919</v>
      </c>
      <c r="AJ108" s="20">
        <f>(SUM(AI$3:AI108)/($B108-$B$3+1))</f>
        <v>2605.7249540373214</v>
      </c>
      <c r="AK108" s="21">
        <f>SUM(AI$3:AI108)/1000</f>
        <v>276.20684512795606</v>
      </c>
      <c r="AL108" s="23">
        <f t="shared" si="52"/>
        <v>1.8656126675656091</v>
      </c>
      <c r="AM108" s="23">
        <f t="shared" si="53"/>
        <v>2.0708427954165369</v>
      </c>
      <c r="AN108" s="24">
        <f t="shared" si="42"/>
        <v>0.65449878666003347</v>
      </c>
      <c r="AO108" s="24">
        <f t="shared" si="43"/>
        <v>0.72649812071247122</v>
      </c>
      <c r="AP108" s="24">
        <f t="shared" si="56"/>
        <v>0.6904984536862524</v>
      </c>
      <c r="AQ108" s="24">
        <f>(SUM(AP$3:AP108)/($B108-$B$3+1))</f>
        <v>0.92900108881052812</v>
      </c>
      <c r="AR108" s="21">
        <f t="shared" si="59"/>
        <v>19.66991504056978</v>
      </c>
      <c r="AS108" s="21">
        <f t="shared" si="59"/>
        <v>19.368756243737707</v>
      </c>
      <c r="AT108" s="21">
        <f t="shared" si="57"/>
        <v>19.519335642153742</v>
      </c>
      <c r="AU108" s="21">
        <f>(SUM(AT$3:AT108)/($B108-$B$3+1))</f>
        <v>19.349522759138626</v>
      </c>
      <c r="AV108" s="22">
        <f>SUM(AT$3:AT108)/1000</f>
        <v>2.0510494124686942</v>
      </c>
    </row>
    <row r="109" spans="1:48" ht="15.6">
      <c r="A109" s="17" t="s">
        <v>63</v>
      </c>
      <c r="B109" s="17">
        <v>166</v>
      </c>
      <c r="C109" s="18">
        <f t="shared" si="33"/>
        <v>123.63824534437136</v>
      </c>
      <c r="D109" s="18">
        <f t="shared" si="34"/>
        <v>115.740661547656</v>
      </c>
      <c r="E109" s="18">
        <f t="shared" si="44"/>
        <v>119.68945344601369</v>
      </c>
      <c r="F109" s="19">
        <f t="shared" si="54"/>
        <v>0.96220471594264723</v>
      </c>
      <c r="G109" s="19">
        <f t="shared" si="54"/>
        <v>0.90065386275593085</v>
      </c>
      <c r="H109" s="19">
        <f t="shared" si="45"/>
        <v>0.93142928934928904</v>
      </c>
      <c r="I109" s="19">
        <f>(SUM(H$3:H109)/($B109-$B$3+1))</f>
        <v>0.92320892662478582</v>
      </c>
      <c r="J109" s="19"/>
      <c r="K109" s="19">
        <f t="shared" si="46"/>
        <v>3.0080911279102951</v>
      </c>
      <c r="L109" s="19">
        <f t="shared" si="47"/>
        <v>2.6722033811525483</v>
      </c>
      <c r="M109" s="19">
        <f t="shared" si="48"/>
        <v>2.8401472545314217</v>
      </c>
      <c r="N109" s="19">
        <f>(SUM(M$3:M109)/($B109-$B$3+1))</f>
        <v>2.2021592601947018</v>
      </c>
      <c r="O109" s="19">
        <f t="shared" si="60"/>
        <v>3.126248581065564</v>
      </c>
      <c r="P109" s="19">
        <f t="shared" si="61"/>
        <v>2.9669593299425969</v>
      </c>
      <c r="Q109" s="19">
        <f t="shared" si="49"/>
        <v>3.0466039555040805</v>
      </c>
      <c r="R109" s="19">
        <f>(SUM(Q$3:Q109)/($B109-$B$3+1))</f>
        <v>2.3511850301623669</v>
      </c>
      <c r="S109" s="19">
        <f t="shared" si="62"/>
        <v>11.10360215375362</v>
      </c>
      <c r="T109" s="19">
        <f t="shared" si="63"/>
        <v>10.269512407323631</v>
      </c>
      <c r="U109" s="19">
        <f t="shared" si="55"/>
        <v>10.686557280538626</v>
      </c>
      <c r="V109" s="19">
        <f>(SUM(U$3:U109)/($B109-$B$3+1))</f>
        <v>8.0778971402425661</v>
      </c>
      <c r="W109" s="18">
        <f t="shared" si="50"/>
        <v>10.683938356292668</v>
      </c>
      <c r="X109" s="18">
        <f t="shared" si="51"/>
        <v>9.249276018275987</v>
      </c>
      <c r="Y109" s="20">
        <f t="shared" si="39"/>
        <v>9966.6071872843277</v>
      </c>
      <c r="Z109" s="20">
        <f>(SUM(Y$3:Y109)/($B109-$B$3+1))</f>
        <v>7576.2845498988527</v>
      </c>
      <c r="AA109" s="21">
        <f>SUM(Y$3:Y109)/1000</f>
        <v>810.66244683917728</v>
      </c>
      <c r="AB109" s="20">
        <f t="shared" si="40"/>
        <v>3509.1867759260449</v>
      </c>
      <c r="AC109" s="20">
        <f>(SUM(AB$3:AB109)/($B109-$B$3+1))</f>
        <v>3427.7236579284049</v>
      </c>
      <c r="AD109" s="18">
        <f t="shared" si="58"/>
        <v>8.026341349623701</v>
      </c>
      <c r="AE109" s="18">
        <f t="shared" si="58"/>
        <v>7.1301086239527551</v>
      </c>
      <c r="AF109" s="20">
        <f t="shared" si="41"/>
        <v>7578.2249867882283</v>
      </c>
      <c r="AG109" s="20">
        <f>(SUM(AF$3:AF109)/($B109-$B$3+1))</f>
        <v>5760.7155378123553</v>
      </c>
      <c r="AH109" s="22">
        <f>SUM(AF$3:AF109)/1000</f>
        <v>616.39656254592205</v>
      </c>
      <c r="AI109" s="20">
        <v>2668.2507305553468</v>
      </c>
      <c r="AJ109" s="20">
        <f>(SUM(AI$3:AI109)/($B109-$B$3+1))</f>
        <v>2606.3093070888917</v>
      </c>
      <c r="AK109" s="21">
        <f>SUM(AI$3:AI109)/1000</f>
        <v>278.87509585851137</v>
      </c>
      <c r="AL109" s="23">
        <f t="shared" si="52"/>
        <v>1.861547819345363</v>
      </c>
      <c r="AM109" s="23">
        <f t="shared" si="53"/>
        <v>2.068520231592617</v>
      </c>
      <c r="AN109" s="24">
        <f t="shared" si="42"/>
        <v>0.65325189904007142</v>
      </c>
      <c r="AO109" s="24">
        <f t="shared" si="43"/>
        <v>0.72588238424402918</v>
      </c>
      <c r="AP109" s="24">
        <f t="shared" si="56"/>
        <v>0.68956714164205035</v>
      </c>
      <c r="AQ109" s="24">
        <f>(SUM(AP$3:AP109)/($B109-$B$3+1))</f>
        <v>0.92676338836970118</v>
      </c>
      <c r="AR109" s="21">
        <f t="shared" si="59"/>
        <v>19.650412417929907</v>
      </c>
      <c r="AS109" s="21">
        <f t="shared" si="59"/>
        <v>19.397053614959678</v>
      </c>
      <c r="AT109" s="21">
        <f t="shared" si="57"/>
        <v>19.523733016444794</v>
      </c>
      <c r="AU109" s="21">
        <f>(SUM(AT$3:AT109)/($B109-$B$3+1))</f>
        <v>19.351150892384478</v>
      </c>
      <c r="AV109" s="22">
        <f>SUM(AT$3:AT109)/1000</f>
        <v>2.0705731454851395</v>
      </c>
    </row>
    <row r="110" spans="1:48" ht="15.6">
      <c r="A110" s="17" t="s">
        <v>63</v>
      </c>
      <c r="B110" s="17">
        <v>167</v>
      </c>
      <c r="C110" s="18">
        <f t="shared" si="33"/>
        <v>124.600450060314</v>
      </c>
      <c r="D110" s="18">
        <f t="shared" si="34"/>
        <v>116.64131541041193</v>
      </c>
      <c r="E110" s="18">
        <f t="shared" si="44"/>
        <v>120.62088273536297</v>
      </c>
      <c r="F110" s="19">
        <f t="shared" si="54"/>
        <v>0.95869048245677391</v>
      </c>
      <c r="G110" s="19">
        <f t="shared" si="54"/>
        <v>0.89812964182718247</v>
      </c>
      <c r="H110" s="19">
        <f t="shared" si="45"/>
        <v>0.92841006214197819</v>
      </c>
      <c r="I110" s="19">
        <f>(SUM(H$3:H110)/($B110-$B$3+1))</f>
        <v>0.92325708528698203</v>
      </c>
      <c r="J110" s="19"/>
      <c r="K110" s="19">
        <f t="shared" si="46"/>
        <v>3.0107327924138501</v>
      </c>
      <c r="L110" s="19">
        <f t="shared" si="47"/>
        <v>2.678261041443029</v>
      </c>
      <c r="M110" s="19">
        <f t="shared" si="48"/>
        <v>2.8444969169284393</v>
      </c>
      <c r="N110" s="19">
        <f>(SUM(M$3:M110)/($B110-$B$3+1))</f>
        <v>2.2081068310903849</v>
      </c>
      <c r="O110" s="19">
        <f t="shared" si="60"/>
        <v>3.1404638384418302</v>
      </c>
      <c r="P110" s="19">
        <f t="shared" si="61"/>
        <v>2.9820428106506904</v>
      </c>
      <c r="Q110" s="19">
        <f t="shared" si="49"/>
        <v>3.0612533245462603</v>
      </c>
      <c r="R110" s="19">
        <f>(SUM(Q$3:Q110)/($B110-$B$3+1))</f>
        <v>2.3577597365918472</v>
      </c>
      <c r="S110" s="19">
        <f t="shared" si="62"/>
        <v>11.15749935229784</v>
      </c>
      <c r="T110" s="19">
        <f t="shared" si="63"/>
        <v>10.324259068997819</v>
      </c>
      <c r="U110" s="19">
        <f t="shared" si="55"/>
        <v>10.740879210647829</v>
      </c>
      <c r="V110" s="19">
        <f>(SUM(U$3:U110)/($B110-$B$3+1))</f>
        <v>8.1025543816352084</v>
      </c>
      <c r="W110" s="18">
        <f t="shared" si="50"/>
        <v>10.696588437065559</v>
      </c>
      <c r="X110" s="18">
        <f t="shared" si="51"/>
        <v>9.2725230997700514</v>
      </c>
      <c r="Y110" s="20">
        <f t="shared" si="39"/>
        <v>9984.5557684178057</v>
      </c>
      <c r="Z110" s="20">
        <f>(SUM(Y$3:Y110)/($B110-$B$3+1))</f>
        <v>7598.5833574777316</v>
      </c>
      <c r="AA110" s="21">
        <f>SUM(Y$3:Y110)/1000</f>
        <v>820.64700260759503</v>
      </c>
      <c r="AB110" s="20">
        <f t="shared" si="40"/>
        <v>3510.1306346991528</v>
      </c>
      <c r="AC110" s="20">
        <f>(SUM(AB$3:AB110)/($B110-$B$3+1))</f>
        <v>3428.486685491097</v>
      </c>
      <c r="AD110" s="18">
        <f t="shared" si="58"/>
        <v>8.0355506972973352</v>
      </c>
      <c r="AE110" s="18">
        <f t="shared" si="58"/>
        <v>7.1481940985726435</v>
      </c>
      <c r="AF110" s="20">
        <f t="shared" si="41"/>
        <v>7591.8723979349897</v>
      </c>
      <c r="AG110" s="20">
        <f>(SUM(AF$3:AF110)/($B110-$B$3+1))</f>
        <v>5777.6706939246023</v>
      </c>
      <c r="AH110" s="22">
        <f>SUM(AF$3:AF110)/1000</f>
        <v>623.98843494385699</v>
      </c>
      <c r="AI110" s="20">
        <v>2668.9684044842934</v>
      </c>
      <c r="AJ110" s="20">
        <f>(SUM(AI$3:AI110)/($B110-$B$3+1))</f>
        <v>2606.8894839166264</v>
      </c>
      <c r="AK110" s="21">
        <f>SUM(AI$3:AI110)/1000</f>
        <v>281.54406426299568</v>
      </c>
      <c r="AL110" s="23">
        <f t="shared" si="52"/>
        <v>1.8577680374062164</v>
      </c>
      <c r="AM110" s="23">
        <f t="shared" si="53"/>
        <v>2.0665198906617892</v>
      </c>
      <c r="AN110" s="24">
        <f t="shared" si="42"/>
        <v>0.65210085002644824</v>
      </c>
      <c r="AO110" s="24">
        <f t="shared" si="43"/>
        <v>0.72537547754270904</v>
      </c>
      <c r="AP110" s="24">
        <f t="shared" si="56"/>
        <v>0.68873816378457864</v>
      </c>
      <c r="AQ110" s="24">
        <f>(SUM(AP$3:AP110)/($B110-$B$3+1))</f>
        <v>0.92455945110502413</v>
      </c>
      <c r="AR110" s="21">
        <f t="shared" si="59"/>
        <v>19.633014131355736</v>
      </c>
      <c r="AS110" s="21">
        <f t="shared" si="59"/>
        <v>19.427448819207704</v>
      </c>
      <c r="AT110" s="21">
        <f t="shared" si="57"/>
        <v>19.53023147528172</v>
      </c>
      <c r="AU110" s="21">
        <f>(SUM(AT$3:AT110)/($B110-$B$3+1))</f>
        <v>19.352809045929824</v>
      </c>
      <c r="AV110" s="22">
        <f>SUM(AT$3:AT110)/1000</f>
        <v>2.0901033769604211</v>
      </c>
    </row>
    <row r="111" spans="1:48" ht="15.6">
      <c r="A111" s="17" t="s">
        <v>63</v>
      </c>
      <c r="B111" s="17">
        <v>168</v>
      </c>
      <c r="C111" s="18">
        <f t="shared" si="33"/>
        <v>125.55914054277078</v>
      </c>
      <c r="D111" s="18">
        <f t="shared" si="34"/>
        <v>117.53944505223912</v>
      </c>
      <c r="E111" s="18">
        <f t="shared" si="44"/>
        <v>121.54929279750495</v>
      </c>
      <c r="F111" s="19">
        <f t="shared" si="54"/>
        <v>0.95512878554025349</v>
      </c>
      <c r="G111" s="19">
        <f t="shared" si="54"/>
        <v>0.89556307329813478</v>
      </c>
      <c r="H111" s="19">
        <f t="shared" si="45"/>
        <v>0.92534592941919414</v>
      </c>
      <c r="I111" s="19">
        <f>(SUM(H$3:H111)/($B111-$B$3+1))</f>
        <v>0.92327624899461702</v>
      </c>
      <c r="J111" s="19"/>
      <c r="K111" s="19">
        <f t="shared" si="46"/>
        <v>3.013269388259634</v>
      </c>
      <c r="L111" s="19">
        <f t="shared" si="47"/>
        <v>2.6842182322920154</v>
      </c>
      <c r="M111" s="19">
        <f t="shared" si="48"/>
        <v>2.8487438102758249</v>
      </c>
      <c r="N111" s="19">
        <f>(SUM(M$3:M111)/($B111-$B$3+1))</f>
        <v>2.2139842345691503</v>
      </c>
      <c r="O111" s="19">
        <f t="shared" si="60"/>
        <v>3.1548304625278631</v>
      </c>
      <c r="P111" s="19">
        <f t="shared" si="61"/>
        <v>2.9972408558636872</v>
      </c>
      <c r="Q111" s="19">
        <f t="shared" si="49"/>
        <v>3.0760356591957754</v>
      </c>
      <c r="R111" s="19">
        <f>(SUM(Q$3:Q111)/($B111-$B$3+1))</f>
        <v>2.3643494239551859</v>
      </c>
      <c r="S111" s="19">
        <f t="shared" si="62"/>
        <v>11.211887266560849</v>
      </c>
      <c r="T111" s="19">
        <f t="shared" si="63"/>
        <v>10.379395328125852</v>
      </c>
      <c r="U111" s="19">
        <f t="shared" si="55"/>
        <v>10.795641297343352</v>
      </c>
      <c r="V111" s="19">
        <f>(SUM(U$3:U111)/($B111-$B$3+1))</f>
        <v>8.1272616010453742</v>
      </c>
      <c r="W111" s="18">
        <f t="shared" si="50"/>
        <v>10.708796268524496</v>
      </c>
      <c r="X111" s="18">
        <f t="shared" si="51"/>
        <v>9.2954031790326912</v>
      </c>
      <c r="Y111" s="20">
        <f t="shared" si="39"/>
        <v>10002.099723778594</v>
      </c>
      <c r="Z111" s="20">
        <f>(SUM(Y$3:Y111)/($B111-$B$3+1))</f>
        <v>7620.6339663428771</v>
      </c>
      <c r="AA111" s="21">
        <f>SUM(Y$3:Y111)/1000</f>
        <v>830.64910233137357</v>
      </c>
      <c r="AB111" s="20">
        <f t="shared" si="40"/>
        <v>3511.0562373842095</v>
      </c>
      <c r="AC111" s="20">
        <f>(SUM(AB$3:AB111)/($B111-$B$3+1))</f>
        <v>3429.2442043158044</v>
      </c>
      <c r="AD111" s="18">
        <f t="shared" si="58"/>
        <v>8.0444415084673668</v>
      </c>
      <c r="AE111" s="18">
        <f t="shared" si="58"/>
        <v>7.1659827859288159</v>
      </c>
      <c r="AF111" s="20">
        <f t="shared" si="41"/>
        <v>7605.2121471980918</v>
      </c>
      <c r="AG111" s="20">
        <f>(SUM(AF$3:AF111)/($B111-$B$3+1))</f>
        <v>5794.4371292757342</v>
      </c>
      <c r="AH111" s="22">
        <f>SUM(AF$3:AF111)/1000</f>
        <v>631.593647091055</v>
      </c>
      <c r="AI111" s="20">
        <v>2669.6721971856537</v>
      </c>
      <c r="AJ111" s="20">
        <f>(SUM(AI$3:AI111)/($B111-$B$3+1))</f>
        <v>2607.4654721117549</v>
      </c>
      <c r="AK111" s="21">
        <f>SUM(AI$3:AI111)/1000</f>
        <v>284.21373646018128</v>
      </c>
      <c r="AL111" s="23">
        <f t="shared" si="52"/>
        <v>1.8542705771536641</v>
      </c>
      <c r="AM111" s="23">
        <f t="shared" si="53"/>
        <v>2.0648392402675908</v>
      </c>
      <c r="AN111" s="24">
        <f t="shared" si="42"/>
        <v>0.65104482757133897</v>
      </c>
      <c r="AO111" s="24">
        <f t="shared" si="43"/>
        <v>0.72497666937371974</v>
      </c>
      <c r="AP111" s="24">
        <f t="shared" si="56"/>
        <v>0.6880107484725293</v>
      </c>
      <c r="AQ111" s="24">
        <f>(SUM(AP$3:AP111)/($B111-$B$3+1))</f>
        <v>0.92238927952123984</v>
      </c>
      <c r="AR111" s="21">
        <f t="shared" si="59"/>
        <v>19.617734493054876</v>
      </c>
      <c r="AS111" s="21">
        <f t="shared" si="59"/>
        <v>19.459955939192788</v>
      </c>
      <c r="AT111" s="21">
        <f t="shared" si="57"/>
        <v>19.538845216123832</v>
      </c>
      <c r="AU111" s="21">
        <f>(SUM(AT$3:AT111)/($B111-$B$3+1))</f>
        <v>19.354515799784814</v>
      </c>
      <c r="AV111" s="22">
        <f>SUM(AT$3:AT111)/1000</f>
        <v>2.1096422221765447</v>
      </c>
    </row>
    <row r="112" spans="1:48" ht="15.6">
      <c r="A112" s="17" t="s">
        <v>63</v>
      </c>
      <c r="B112" s="17">
        <v>169</v>
      </c>
      <c r="C112" s="18">
        <f t="shared" si="33"/>
        <v>126.51426932831103</v>
      </c>
      <c r="D112" s="18">
        <f t="shared" si="34"/>
        <v>118.43500812553725</v>
      </c>
      <c r="E112" s="18">
        <f t="shared" si="44"/>
        <v>122.47463872692414</v>
      </c>
      <c r="F112" s="19">
        <f t="shared" si="54"/>
        <v>0.95152125961428169</v>
      </c>
      <c r="G112" s="19">
        <f t="shared" si="54"/>
        <v>0.89295532655367538</v>
      </c>
      <c r="H112" s="19">
        <f t="shared" si="45"/>
        <v>0.92223829308397853</v>
      </c>
      <c r="I112" s="19">
        <f>(SUM(H$3:H112)/($B112-$B$3+1))</f>
        <v>0.92326681303179303</v>
      </c>
      <c r="J112" s="19"/>
      <c r="K112" s="19">
        <f t="shared" si="46"/>
        <v>3.0157049814871475</v>
      </c>
      <c r="L112" s="19">
        <f t="shared" si="47"/>
        <v>2.6900766392616373</v>
      </c>
      <c r="M112" s="19">
        <f t="shared" si="48"/>
        <v>2.8528908103743924</v>
      </c>
      <c r="N112" s="19">
        <f>(SUM(M$3:M112)/($B112-$B$3+1))</f>
        <v>2.2197924761673797</v>
      </c>
      <c r="O112" s="19">
        <f t="shared" si="60"/>
        <v>3.169351132217082</v>
      </c>
      <c r="P112" s="19">
        <f t="shared" si="61"/>
        <v>3.0125545581814022</v>
      </c>
      <c r="Q112" s="19">
        <f t="shared" si="49"/>
        <v>3.0909528451992418</v>
      </c>
      <c r="R112" s="19">
        <f>(SUM(Q$3:Q112)/($B112-$B$3+1))</f>
        <v>2.370954909602859</v>
      </c>
      <c r="S112" s="19">
        <f t="shared" si="62"/>
        <v>11.266775926133304</v>
      </c>
      <c r="T112" s="19">
        <f t="shared" si="63"/>
        <v>10.434925161397162</v>
      </c>
      <c r="U112" s="19">
        <f t="shared" si="55"/>
        <v>10.850850543765233</v>
      </c>
      <c r="V112" s="19">
        <f>(SUM(U$3:U112)/($B112-$B$3+1))</f>
        <v>8.1520215005246452</v>
      </c>
      <c r="W112" s="18">
        <f t="shared" si="50"/>
        <v>10.720576821026226</v>
      </c>
      <c r="X112" s="18">
        <f t="shared" si="51"/>
        <v>9.3179220050585663</v>
      </c>
      <c r="Y112" s="20">
        <f t="shared" si="39"/>
        <v>10019.249413042395</v>
      </c>
      <c r="Z112" s="20">
        <f>(SUM(Y$3:Y112)/($B112-$B$3+1))</f>
        <v>7642.4395613128736</v>
      </c>
      <c r="AA112" s="21">
        <f>SUM(Y$3:Y112)/1000</f>
        <v>840.6683517444161</v>
      </c>
      <c r="AB112" s="20">
        <f t="shared" si="40"/>
        <v>3511.9638566635299</v>
      </c>
      <c r="AC112" s="20">
        <f>(SUM(AB$3:AB112)/($B112-$B$3+1))</f>
        <v>3429.9962011553293</v>
      </c>
      <c r="AD112" s="18">
        <f t="shared" si="58"/>
        <v>8.0530249387264359</v>
      </c>
      <c r="AE112" s="18">
        <f t="shared" si="58"/>
        <v>7.1834792846269968</v>
      </c>
      <c r="AF112" s="20">
        <f t="shared" si="41"/>
        <v>7618.2521116767157</v>
      </c>
      <c r="AG112" s="20">
        <f>(SUM(AF$3:AF112)/($B112-$B$3+1))</f>
        <v>5811.0172654793796</v>
      </c>
      <c r="AH112" s="22">
        <f>SUM(AF$3:AF112)/1000</f>
        <v>639.21189920273184</v>
      </c>
      <c r="AI112" s="20">
        <v>2670.3623159965778</v>
      </c>
      <c r="AJ112" s="20">
        <f>(SUM(AI$3:AI112)/($B112-$B$3+1))</f>
        <v>2608.037261601617</v>
      </c>
      <c r="AK112" s="21">
        <f>SUM(AI$3:AI112)/1000</f>
        <v>286.88409877617784</v>
      </c>
      <c r="AL112" s="23">
        <f t="shared" si="52"/>
        <v>1.8510526444138899</v>
      </c>
      <c r="AM112" s="23">
        <f t="shared" si="53"/>
        <v>2.0634756929989941</v>
      </c>
      <c r="AN112" s="24">
        <f t="shared" si="42"/>
        <v>0.65008299839630301</v>
      </c>
      <c r="AO112" s="24">
        <f t="shared" si="43"/>
        <v>0.72468520529161984</v>
      </c>
      <c r="AP112" s="24">
        <f t="shared" si="56"/>
        <v>0.68738410184396148</v>
      </c>
      <c r="AQ112" s="24">
        <f>(SUM(AP$3:AP112)/($B112-$B$3+1))</f>
        <v>0.92025286881508273</v>
      </c>
      <c r="AR112" s="21">
        <f t="shared" si="59"/>
        <v>19.604585366438322</v>
      </c>
      <c r="AS112" s="21">
        <f t="shared" si="59"/>
        <v>19.494587415735104</v>
      </c>
      <c r="AT112" s="21">
        <f t="shared" si="57"/>
        <v>19.549586391086713</v>
      </c>
      <c r="AU112" s="21">
        <f>(SUM(AT$3:AT112)/($B112-$B$3+1))</f>
        <v>19.35628916879665</v>
      </c>
      <c r="AV112" s="22">
        <f>SUM(AT$3:AT112)/1000</f>
        <v>2.1291918085676316</v>
      </c>
    </row>
    <row r="113" spans="1:48" ht="15.6">
      <c r="A113" s="17" t="s">
        <v>63</v>
      </c>
      <c r="B113" s="17">
        <v>170</v>
      </c>
      <c r="C113" s="18">
        <f t="shared" si="33"/>
        <v>127.46579058792531</v>
      </c>
      <c r="D113" s="18">
        <f t="shared" si="34"/>
        <v>119.32796345209093</v>
      </c>
      <c r="E113" s="18">
        <f t="shared" si="44"/>
        <v>123.39687702000812</v>
      </c>
      <c r="F113" s="19">
        <f t="shared" si="54"/>
        <v>0.94786951617240334</v>
      </c>
      <c r="G113" s="19">
        <f t="shared" si="54"/>
        <v>0.89030755709481468</v>
      </c>
      <c r="H113" s="19">
        <f t="shared" si="45"/>
        <v>0.91908853663360901</v>
      </c>
      <c r="I113" s="19">
        <f>(SUM(H$3:H113)/($B113-$B$3+1))</f>
        <v>0.92322917090207968</v>
      </c>
      <c r="J113" s="19"/>
      <c r="K113" s="19">
        <f t="shared" si="46"/>
        <v>3.0180434970690664</v>
      </c>
      <c r="L113" s="19">
        <f t="shared" si="47"/>
        <v>2.6958379258361442</v>
      </c>
      <c r="M113" s="19">
        <f t="shared" si="48"/>
        <v>2.8569407114526051</v>
      </c>
      <c r="N113" s="19">
        <f>(SUM(M$3:M113)/($B113-$B$3+1))</f>
        <v>2.2255325503591386</v>
      </c>
      <c r="O113" s="19">
        <f t="shared" si="60"/>
        <v>3.1840284401762839</v>
      </c>
      <c r="P113" s="19">
        <f t="shared" si="61"/>
        <v>3.0279849972665644</v>
      </c>
      <c r="Q113" s="19">
        <f t="shared" si="49"/>
        <v>3.1060067187214244</v>
      </c>
      <c r="R113" s="19">
        <f>(SUM(Q$3:Q113)/($B113-$B$3+1))</f>
        <v>2.3775769979732964</v>
      </c>
      <c r="S113" s="19">
        <f t="shared" si="62"/>
        <v>11.322175091047006</v>
      </c>
      <c r="T113" s="19">
        <f t="shared" si="63"/>
        <v>10.490852502130306</v>
      </c>
      <c r="U113" s="19">
        <f t="shared" si="55"/>
        <v>10.906513796588655</v>
      </c>
      <c r="V113" s="19">
        <f>(SUM(U$3:U113)/($B113-$B$3+1))</f>
        <v>8.1768367464351321</v>
      </c>
      <c r="W113" s="18">
        <f t="shared" si="50"/>
        <v>10.731944625569962</v>
      </c>
      <c r="X113" s="18">
        <f t="shared" si="51"/>
        <v>9.3400852630136573</v>
      </c>
      <c r="Y113" s="20">
        <f t="shared" si="39"/>
        <v>10036.01494429181</v>
      </c>
      <c r="Z113" s="20">
        <f>(SUM(Y$3:Y113)/($B113-$B$3+1))</f>
        <v>7664.0033035018723</v>
      </c>
      <c r="AA113" s="21">
        <f>SUM(Y$3:Y113)/1000</f>
        <v>850.70436668870786</v>
      </c>
      <c r="AB113" s="20">
        <f t="shared" si="40"/>
        <v>3512.8537683895515</v>
      </c>
      <c r="AC113" s="20">
        <f>(SUM(AB$3:AB113)/($B113-$B$3+1))</f>
        <v>3430.7426657250071</v>
      </c>
      <c r="AD113" s="18">
        <f t="shared" si="58"/>
        <v>8.0613117958325162</v>
      </c>
      <c r="AE113" s="18">
        <f t="shared" si="58"/>
        <v>7.2006881585041143</v>
      </c>
      <c r="AF113" s="20">
        <f t="shared" si="41"/>
        <v>7630.9999771683151</v>
      </c>
      <c r="AG113" s="20">
        <f>(SUM(AF$3:AF113)/($B113-$B$3+1))</f>
        <v>5827.4135061252255</v>
      </c>
      <c r="AH113" s="22">
        <f>SUM(AF$3:AF113)/1000</f>
        <v>646.84289917990009</v>
      </c>
      <c r="AI113" s="20">
        <v>2671.0389706646556</v>
      </c>
      <c r="AJ113" s="20">
        <f>(SUM(AI$3:AI113)/($B113-$B$3+1))</f>
        <v>2608.604844566149</v>
      </c>
      <c r="AK113" s="21">
        <f>SUM(AI$3:AI113)/1000</f>
        <v>289.55513774684255</v>
      </c>
      <c r="AL113" s="23">
        <f t="shared" si="52"/>
        <v>1.8481113983068829</v>
      </c>
      <c r="AM113" s="23">
        <f t="shared" si="53"/>
        <v>2.0624266088890422</v>
      </c>
      <c r="AN113" s="24">
        <f t="shared" si="42"/>
        <v>0.64921450899460165</v>
      </c>
      <c r="AO113" s="24">
        <f t="shared" si="43"/>
        <v>0.72450030850627545</v>
      </c>
      <c r="AP113" s="24">
        <f t="shared" si="56"/>
        <v>0.68685740875043855</v>
      </c>
      <c r="AQ113" s="24">
        <f>(SUM(AP$3:AP113)/($B113-$B$3+1))</f>
        <v>0.91815020701269856</v>
      </c>
      <c r="AR113" s="21">
        <f t="shared" si="59"/>
        <v>19.593576270740446</v>
      </c>
      <c r="AS113" s="21">
        <f t="shared" si="59"/>
        <v>19.531354089512043</v>
      </c>
      <c r="AT113" s="21">
        <f t="shared" si="57"/>
        <v>19.562465180126246</v>
      </c>
      <c r="AU113" s="21">
        <f>(SUM(AT$3:AT113)/($B113-$B$3+1))</f>
        <v>19.35814661034016</v>
      </c>
      <c r="AV113" s="22">
        <f>SUM(AT$3:AT113)/1000</f>
        <v>2.1487542737477581</v>
      </c>
    </row>
    <row r="114" spans="1:48" ht="15.6">
      <c r="A114" s="17" t="s">
        <v>63</v>
      </c>
      <c r="B114" s="17">
        <v>171</v>
      </c>
      <c r="C114" s="18">
        <f t="shared" si="33"/>
        <v>128.41366010409772</v>
      </c>
      <c r="D114" s="18">
        <f t="shared" si="34"/>
        <v>120.21827100918574</v>
      </c>
      <c r="E114" s="18">
        <f t="shared" si="44"/>
        <v>124.31596555664173</v>
      </c>
      <c r="F114" s="19">
        <f t="shared" si="54"/>
        <v>0.94417514359363963</v>
      </c>
      <c r="G114" s="19">
        <f t="shared" si="54"/>
        <v>0.88762090641399993</v>
      </c>
      <c r="H114" s="19">
        <f t="shared" si="45"/>
        <v>0.91589802500381978</v>
      </c>
      <c r="I114" s="19">
        <f>(SUM(H$3:H114)/($B114-$B$3+1))</f>
        <v>0.92316371424227384</v>
      </c>
      <c r="J114" s="19"/>
      <c r="K114" s="19">
        <f t="shared" si="46"/>
        <v>3.0202887223989738</v>
      </c>
      <c r="L114" s="19">
        <f t="shared" si="47"/>
        <v>2.7015037333373839</v>
      </c>
      <c r="M114" s="19">
        <f t="shared" si="48"/>
        <v>2.8608962278681789</v>
      </c>
      <c r="N114" s="19">
        <f>(SUM(M$3:M114)/($B114-$B$3+1))</f>
        <v>2.2312054403368977</v>
      </c>
      <c r="O114" s="19">
        <f t="shared" si="60"/>
        <v>3.1988648958745154</v>
      </c>
      <c r="P114" s="19">
        <f t="shared" si="61"/>
        <v>3.0435332401661137</v>
      </c>
      <c r="Q114" s="19">
        <f t="shared" si="49"/>
        <v>3.1211990680203145</v>
      </c>
      <c r="R114" s="19">
        <f>(SUM(Q$3:Q114)/($B114-$B$3+1))</f>
        <v>2.3842164807415736</v>
      </c>
      <c r="S114" s="19">
        <f t="shared" si="62"/>
        <v>11.378094259505769</v>
      </c>
      <c r="T114" s="19">
        <f t="shared" si="63"/>
        <v>10.547181241235739</v>
      </c>
      <c r="U114" s="19">
        <f t="shared" si="55"/>
        <v>10.962637750370753</v>
      </c>
      <c r="V114" s="19">
        <f>(SUM(U$3:U114)/($B114-$B$3+1))</f>
        <v>8.2017099696845559</v>
      </c>
      <c r="W114" s="18">
        <f t="shared" si="50"/>
        <v>10.742913781290826</v>
      </c>
      <c r="X114" s="18">
        <f t="shared" si="51"/>
        <v>9.3618985734584044</v>
      </c>
      <c r="Y114" s="20">
        <f t="shared" si="39"/>
        <v>10052.406177374614</v>
      </c>
      <c r="Z114" s="20">
        <f>(SUM(Y$3:Y114)/($B114-$B$3+1))</f>
        <v>7685.3283291614507</v>
      </c>
      <c r="AA114" s="21">
        <f>SUM(Y$3:Y114)/1000</f>
        <v>860.75677286608254</v>
      </c>
      <c r="AB114" s="20">
        <f t="shared" si="40"/>
        <v>3513.7262510445021</v>
      </c>
      <c r="AC114" s="20">
        <f>(SUM(AB$3:AB114)/($B114-$B$3+1))</f>
        <v>3431.4835905939312</v>
      </c>
      <c r="AD114" s="18">
        <f t="shared" si="58"/>
        <v>8.069312546588403</v>
      </c>
      <c r="AE114" s="18">
        <f t="shared" si="58"/>
        <v>7.2176139348558355</v>
      </c>
      <c r="AF114" s="20">
        <f t="shared" si="41"/>
        <v>7643.4632407221188</v>
      </c>
      <c r="AG114" s="20">
        <f>(SUM(AF$3:AF114)/($B114-$B$3+1))</f>
        <v>5843.6282358984117</v>
      </c>
      <c r="AH114" s="22">
        <f>SUM(AF$3:AF114)/1000</f>
        <v>654.48636242062219</v>
      </c>
      <c r="AI114" s="20">
        <v>2671.7023729370676</v>
      </c>
      <c r="AJ114" s="20">
        <f>(SUM(AI$3:AI114)/($B114-$B$3+1))</f>
        <v>2609.1682153551747</v>
      </c>
      <c r="AK114" s="21">
        <f>SUM(AI$3:AI114)/1000</f>
        <v>292.22684011977958</v>
      </c>
      <c r="AL114" s="23">
        <f t="shared" si="52"/>
        <v>1.8454439540629832</v>
      </c>
      <c r="AM114" s="23">
        <f t="shared" si="53"/>
        <v>2.0616892978741155</v>
      </c>
      <c r="AN114" s="24">
        <f t="shared" si="42"/>
        <v>0.64843848662224679</v>
      </c>
      <c r="AO114" s="24">
        <f t="shared" si="43"/>
        <v>0.72442118074377881</v>
      </c>
      <c r="AP114" s="24">
        <f t="shared" si="56"/>
        <v>0.6864298336830128</v>
      </c>
      <c r="AQ114" s="24">
        <f>(SUM(AP$3:AP114)/($B114-$B$3+1))</f>
        <v>0.91608127510796922</v>
      </c>
      <c r="AR114" s="21">
        <f t="shared" si="59"/>
        <v>19.5847144831463</v>
      </c>
      <c r="AS114" s="21">
        <f t="shared" si="59"/>
        <v>19.570265242879941</v>
      </c>
      <c r="AT114" s="21">
        <f t="shared" si="57"/>
        <v>19.57748986301312</v>
      </c>
      <c r="AU114" s="21">
        <f>(SUM(AT$3:AT114)/($B114-$B$3+1))</f>
        <v>19.360105032239026</v>
      </c>
      <c r="AV114" s="22">
        <f>SUM(AT$3:AT114)/1000</f>
        <v>2.1683317636107708</v>
      </c>
    </row>
    <row r="115" spans="1:48" ht="15.6">
      <c r="A115" s="17" t="s">
        <v>63</v>
      </c>
      <c r="B115" s="17">
        <v>172</v>
      </c>
      <c r="C115" s="18">
        <f t="shared" si="33"/>
        <v>129.35783524769136</v>
      </c>
      <c r="D115" s="18">
        <f t="shared" si="34"/>
        <v>121.10589191559974</v>
      </c>
      <c r="E115" s="18">
        <f t="shared" si="44"/>
        <v>125.23186358164554</v>
      </c>
      <c r="F115" s="19">
        <f t="shared" si="54"/>
        <v>0.94043970697794066</v>
      </c>
      <c r="G115" s="19">
        <f t="shared" si="54"/>
        <v>0.88489650188262203</v>
      </c>
      <c r="H115" s="19">
        <f t="shared" si="45"/>
        <v>0.91266810443028135</v>
      </c>
      <c r="I115" s="19">
        <f>(SUM(H$3:H115)/($B115-$B$3+1))</f>
        <v>0.92307083273951285</v>
      </c>
      <c r="J115" s="19"/>
      <c r="K115" s="19">
        <f t="shared" si="46"/>
        <v>3.0224443108075376</v>
      </c>
      <c r="L115" s="19">
        <f t="shared" si="47"/>
        <v>2.7070756808640088</v>
      </c>
      <c r="M115" s="19">
        <f t="shared" si="48"/>
        <v>2.8647599958357732</v>
      </c>
      <c r="N115" s="19">
        <f>(SUM(M$3:M115)/($B115-$B$3+1))</f>
        <v>2.2368121178191887</v>
      </c>
      <c r="O115" s="19">
        <f t="shared" si="60"/>
        <v>3.213862928565641</v>
      </c>
      <c r="P115" s="19">
        <f t="shared" si="61"/>
        <v>3.0592003416271742</v>
      </c>
      <c r="Q115" s="19">
        <f t="shared" si="49"/>
        <v>3.1365316350964076</v>
      </c>
      <c r="R115" s="19">
        <f>(SUM(Q$3:Q115)/($B115-$B$3+1))</f>
        <v>2.3908741369748019</v>
      </c>
      <c r="S115" s="19">
        <f t="shared" si="62"/>
        <v>11.434542675580035</v>
      </c>
      <c r="T115" s="19">
        <f t="shared" si="63"/>
        <v>10.603915228166343</v>
      </c>
      <c r="U115" s="19">
        <f t="shared" si="55"/>
        <v>11.019228951873188</v>
      </c>
      <c r="V115" s="19">
        <f>(SUM(U$3:U115)/($B115-$B$3+1))</f>
        <v>8.2266437659871112</v>
      </c>
      <c r="W115" s="18">
        <f t="shared" si="50"/>
        <v>10.753497963249245</v>
      </c>
      <c r="X115" s="18">
        <f t="shared" si="51"/>
        <v>9.3833674916642629</v>
      </c>
      <c r="Y115" s="20">
        <f t="shared" si="39"/>
        <v>10068.432727456753</v>
      </c>
      <c r="Z115" s="20">
        <f>(SUM(Y$3:Y115)/($B115-$B$3+1))</f>
        <v>7706.4177486153922</v>
      </c>
      <c r="AA115" s="21">
        <f>SUM(Y$3:Y115)/1000</f>
        <v>870.82520559353929</v>
      </c>
      <c r="AB115" s="20">
        <f t="shared" si="40"/>
        <v>3514.5815852260812</v>
      </c>
      <c r="AC115" s="20">
        <f>(SUM(AB$3:AB115)/($B115-$B$3+1))</f>
        <v>3432.218971077401</v>
      </c>
      <c r="AD115" s="18">
        <f t="shared" si="58"/>
        <v>8.0770373239065201</v>
      </c>
      <c r="AE115" s="18">
        <f t="shared" si="58"/>
        <v>7.234261102774898</v>
      </c>
      <c r="AF115" s="20">
        <f t="shared" si="41"/>
        <v>7655.6492133407091</v>
      </c>
      <c r="AG115" s="20">
        <f>(SUM(AF$3:AF115)/($B115-$B$3+1))</f>
        <v>5859.6638197695829</v>
      </c>
      <c r="AH115" s="22">
        <f>SUM(AF$3:AF115)/1000</f>
        <v>662.14201163396285</v>
      </c>
      <c r="AI115" s="20">
        <v>2672.3527361695192</v>
      </c>
      <c r="AJ115" s="20">
        <f>(SUM(AI$3:AI115)/($B115-$B$3+1))</f>
        <v>2609.7273704066292</v>
      </c>
      <c r="AK115" s="21">
        <f>SUM(AI$3:AI115)/1000</f>
        <v>294.89919285594908</v>
      </c>
      <c r="AL115" s="23">
        <f t="shared" si="52"/>
        <v>1.8430473857821235</v>
      </c>
      <c r="AM115" s="23">
        <f t="shared" si="53"/>
        <v>2.0612610222130923</v>
      </c>
      <c r="AN115" s="24">
        <f t="shared" si="42"/>
        <v>0.64775404027689198</v>
      </c>
      <c r="AO115" s="24">
        <f t="shared" si="43"/>
        <v>0.72444700310144217</v>
      </c>
      <c r="AP115" s="24">
        <f t="shared" si="56"/>
        <v>0.68610052168916713</v>
      </c>
      <c r="AQ115" s="24">
        <f>(SUM(AP$3:AP115)/($B115-$B$3+1))</f>
        <v>0.91404604720160809</v>
      </c>
      <c r="AR115" s="21">
        <f t="shared" si="59"/>
        <v>19.578005138374888</v>
      </c>
      <c r="AS115" s="21">
        <f t="shared" si="59"/>
        <v>19.611328641707274</v>
      </c>
      <c r="AT115" s="21">
        <f t="shared" si="57"/>
        <v>19.594666890041083</v>
      </c>
      <c r="AU115" s="21">
        <f>(SUM(AT$3:AT115)/($B115-$B$3+1))</f>
        <v>19.362180800892141</v>
      </c>
      <c r="AV115" s="22">
        <f>SUM(AT$3:AT115)/1000</f>
        <v>2.1879264305008119</v>
      </c>
    </row>
    <row r="116" spans="1:48" ht="15.6">
      <c r="A116" s="17" t="s">
        <v>63</v>
      </c>
      <c r="B116" s="17">
        <v>173</v>
      </c>
      <c r="C116" s="18">
        <f t="shared" si="33"/>
        <v>130.2982749546693</v>
      </c>
      <c r="D116" s="18">
        <f t="shared" si="34"/>
        <v>121.99078841748236</v>
      </c>
      <c r="E116" s="18">
        <f t="shared" si="44"/>
        <v>126.14453168607582</v>
      </c>
      <c r="F116" s="19">
        <f t="shared" si="54"/>
        <v>0.93666474800545529</v>
      </c>
      <c r="G116" s="19">
        <f t="shared" si="54"/>
        <v>0.88213545665031745</v>
      </c>
      <c r="H116" s="19">
        <f t="shared" si="45"/>
        <v>0.90940010232788637</v>
      </c>
      <c r="I116" s="19">
        <f>(SUM(H$3:H116)/($B116-$B$3+1))</f>
        <v>0.9229509140516915</v>
      </c>
      <c r="J116" s="19"/>
      <c r="K116" s="19">
        <f t="shared" si="46"/>
        <v>3.0245137850954142</v>
      </c>
      <c r="L116" s="19">
        <f t="shared" si="47"/>
        <v>2.7125553652531522</v>
      </c>
      <c r="M116" s="19">
        <f t="shared" si="48"/>
        <v>2.8685345751742832</v>
      </c>
      <c r="N116" s="19">
        <f>(SUM(M$3:M116)/($B116-$B$3+1))</f>
        <v>2.2423535428837074</v>
      </c>
      <c r="O116" s="19">
        <f t="shared" si="60"/>
        <v>3.2290248902137599</v>
      </c>
      <c r="P116" s="19">
        <f t="shared" si="61"/>
        <v>3.0749873444078348</v>
      </c>
      <c r="Q116" s="19">
        <f t="shared" si="49"/>
        <v>3.1520061173107976</v>
      </c>
      <c r="R116" s="19">
        <f>(SUM(Q$3:Q116)/($B116-$B$3+1))</f>
        <v>2.3975507332935386</v>
      </c>
      <c r="S116" s="19">
        <f t="shared" si="62"/>
        <v>11.491529336825344</v>
      </c>
      <c r="T116" s="19">
        <f t="shared" si="63"/>
        <v>10.661058271856106</v>
      </c>
      <c r="U116" s="19">
        <f t="shared" si="55"/>
        <v>11.076293804340725</v>
      </c>
      <c r="V116" s="19">
        <f>(SUM(U$3:U116)/($B116-$B$3+1))</f>
        <v>8.2516406961481081</v>
      </c>
      <c r="W116" s="18">
        <f t="shared" si="50"/>
        <v>10.763710430474807</v>
      </c>
      <c r="X116" s="18">
        <f t="shared" si="51"/>
        <v>9.4044975070194301</v>
      </c>
      <c r="Y116" s="20">
        <f t="shared" si="39"/>
        <v>10084.103968747118</v>
      </c>
      <c r="Z116" s="20">
        <f>(SUM(Y$3:Y116)/($B116-$B$3+1))</f>
        <v>7727.2746452832134</v>
      </c>
      <c r="AA116" s="21">
        <f>SUM(Y$3:Y116)/1000</f>
        <v>880.90930956228635</v>
      </c>
      <c r="AB116" s="20">
        <f t="shared" si="40"/>
        <v>3515.4200531588294</v>
      </c>
      <c r="AC116" s="20">
        <f>(SUM(AB$3:AB116)/($B116-$B$3+1))</f>
        <v>3432.9488051307471</v>
      </c>
      <c r="AD116" s="18">
        <f t="shared" si="58"/>
        <v>8.0844959340264761</v>
      </c>
      <c r="AE116" s="18">
        <f t="shared" si="58"/>
        <v>7.2506341115978747</v>
      </c>
      <c r="AF116" s="20">
        <f t="shared" si="41"/>
        <v>7667.5650228121749</v>
      </c>
      <c r="AG116" s="20">
        <f>(SUM(AF$3:AF116)/($B116-$B$3+1))</f>
        <v>5875.522602252413</v>
      </c>
      <c r="AH116" s="22">
        <f>SUM(AF$3:AF116)/1000</f>
        <v>669.80957665677511</v>
      </c>
      <c r="AI116" s="20">
        <v>2672.9902749547018</v>
      </c>
      <c r="AJ116" s="20">
        <f>(SUM(AI$3:AI116)/($B116-$B$3+1))</f>
        <v>2610.282308165823</v>
      </c>
      <c r="AK116" s="21">
        <f>SUM(AI$3:AI116)/1000</f>
        <v>297.5721831309038</v>
      </c>
      <c r="AL116" s="23">
        <f t="shared" si="52"/>
        <v>1.8409187291351294</v>
      </c>
      <c r="AM116" s="23">
        <f t="shared" si="53"/>
        <v>2.0611389988658222</v>
      </c>
      <c r="AN116" s="24">
        <f t="shared" si="42"/>
        <v>0.6471602616637302</v>
      </c>
      <c r="AO116" s="24">
        <f t="shared" si="43"/>
        <v>0.72457693689606262</v>
      </c>
      <c r="AP116" s="24">
        <f t="shared" si="56"/>
        <v>0.68586859927989641</v>
      </c>
      <c r="AQ116" s="24">
        <f>(SUM(AP$3:AP116)/($B116-$B$3+1))</f>
        <v>0.91204449064089144</v>
      </c>
      <c r="AR116" s="21">
        <f t="shared" si="59"/>
        <v>19.573451325679073</v>
      </c>
      <c r="AS116" s="21">
        <f t="shared" si="59"/>
        <v>19.654550577161096</v>
      </c>
      <c r="AT116" s="21">
        <f t="shared" si="57"/>
        <v>19.614000951420085</v>
      </c>
      <c r="AU116" s="21">
        <f>(SUM(AT$3:AT116)/($B116-$B$3+1))</f>
        <v>19.364389749580983</v>
      </c>
      <c r="AV116" s="22">
        <f>SUM(AT$3:AT116)/1000</f>
        <v>2.207540431452232</v>
      </c>
    </row>
    <row r="117" spans="1:48" ht="15.6">
      <c r="A117" s="17" t="s">
        <v>63</v>
      </c>
      <c r="B117" s="17">
        <v>174</v>
      </c>
      <c r="C117" s="18">
        <f t="shared" si="33"/>
        <v>131.23493970267475</v>
      </c>
      <c r="D117" s="18">
        <f t="shared" si="34"/>
        <v>122.87292387413268</v>
      </c>
      <c r="E117" s="18">
        <f t="shared" si="44"/>
        <v>127.05393178840372</v>
      </c>
      <c r="F117" s="19">
        <f t="shared" si="54"/>
        <v>0.93285178481696107</v>
      </c>
      <c r="G117" s="19">
        <f t="shared" si="54"/>
        <v>0.87933886955583773</v>
      </c>
      <c r="H117" s="19">
        <f t="shared" si="45"/>
        <v>0.9060953271863994</v>
      </c>
      <c r="I117" s="19">
        <f>(SUM(H$3:H117)/($B117-$B$3+1))</f>
        <v>0.92280434373112363</v>
      </c>
      <c r="J117" s="19"/>
      <c r="K117" s="19">
        <f t="shared" si="46"/>
        <v>3.0265005410721098</v>
      </c>
      <c r="L117" s="19">
        <f t="shared" si="47"/>
        <v>2.7179443610633736</v>
      </c>
      <c r="M117" s="19">
        <f t="shared" si="48"/>
        <v>2.8722224510677417</v>
      </c>
      <c r="N117" s="19">
        <f>(SUM(M$3:M117)/($B117-$B$3+1))</f>
        <v>2.2478306638244381</v>
      </c>
      <c r="O117" s="19">
        <f t="shared" si="60"/>
        <v>3.24435305836495</v>
      </c>
      <c r="P117" s="19">
        <f t="shared" si="61"/>
        <v>3.0908952795822988</v>
      </c>
      <c r="Q117" s="19">
        <f t="shared" si="49"/>
        <v>3.1676241689736244</v>
      </c>
      <c r="R117" s="19">
        <f>(SUM(Q$3:Q117)/($B117-$B$3+1))</f>
        <v>2.4042470240385829</v>
      </c>
      <c r="S117" s="19">
        <f t="shared" si="62"/>
        <v>11.549063001835489</v>
      </c>
      <c r="T117" s="19">
        <f t="shared" si="63"/>
        <v>10.718614141645229</v>
      </c>
      <c r="U117" s="19">
        <f t="shared" si="55"/>
        <v>11.133838571740359</v>
      </c>
      <c r="V117" s="19">
        <f>(SUM(U$3:U117)/($B117-$B$3+1))</f>
        <v>8.2767032863706493</v>
      </c>
      <c r="W117" s="18">
        <f t="shared" si="50"/>
        <v>10.773564034225766</v>
      </c>
      <c r="X117" s="18">
        <f t="shared" si="51"/>
        <v>9.425294042519532</v>
      </c>
      <c r="Y117" s="20">
        <f t="shared" si="39"/>
        <v>10099.429038372647</v>
      </c>
      <c r="Z117" s="20">
        <f>(SUM(Y$3:Y117)/($B117-$B$3+1))</f>
        <v>7747.9020747883387</v>
      </c>
      <c r="AA117" s="21">
        <f>SUM(Y$3:Y117)/1000</f>
        <v>891.00873860065894</v>
      </c>
      <c r="AB117" s="20">
        <f t="shared" si="40"/>
        <v>3516.2419382308672</v>
      </c>
      <c r="AC117" s="20">
        <f>(SUM(AB$3:AB117)/($B117-$B$3+1))</f>
        <v>3433.6730932446612</v>
      </c>
      <c r="AD117" s="18">
        <f t="shared" si="58"/>
        <v>8.0916978638551722</v>
      </c>
      <c r="AE117" s="18">
        <f t="shared" si="58"/>
        <v>7.2667373694580508</v>
      </c>
      <c r="AF117" s="20">
        <f t="shared" si="41"/>
        <v>7679.2176166566114</v>
      </c>
      <c r="AG117" s="20">
        <f>(SUM(AF$3:AF117)/($B117-$B$3+1))</f>
        <v>5891.2069067254924</v>
      </c>
      <c r="AH117" s="22">
        <f>SUM(AF$3:AF117)/1000</f>
        <v>677.48879427343161</v>
      </c>
      <c r="AI117" s="20">
        <v>2673.6152047700489</v>
      </c>
      <c r="AJ117" s="20">
        <f>(SUM(AI$3:AI117)/($B117-$B$3+1))</f>
        <v>2610.8330290058598</v>
      </c>
      <c r="AK117" s="21">
        <f>SUM(AI$3:AI117)/1000</f>
        <v>300.2457983356739</v>
      </c>
      <c r="AL117" s="23">
        <f t="shared" si="52"/>
        <v>1.8390549840065957</v>
      </c>
      <c r="AM117" s="23">
        <f t="shared" si="53"/>
        <v>2.0613204018302866</v>
      </c>
      <c r="AN117" s="24">
        <f t="shared" si="42"/>
        <v>0.64665622614764884</v>
      </c>
      <c r="AO117" s="24">
        <f t="shared" si="43"/>
        <v>0.72481012450465576</v>
      </c>
      <c r="AP117" s="24">
        <f t="shared" si="56"/>
        <v>0.6857331753261523</v>
      </c>
      <c r="AQ117" s="24">
        <f>(SUM(AP$3:AP117)/($B117-$B$3+1))</f>
        <v>0.91007656615989363</v>
      </c>
      <c r="AR117" s="21">
        <f t="shared" si="59"/>
        <v>19.571054183235077</v>
      </c>
      <c r="AS117" s="21">
        <f t="shared" si="59"/>
        <v>19.699935907390707</v>
      </c>
      <c r="AT117" s="21">
        <f t="shared" si="57"/>
        <v>19.635495045312894</v>
      </c>
      <c r="AU117" s="21">
        <f>(SUM(AT$3:AT117)/($B117-$B$3+1))</f>
        <v>19.366747186935171</v>
      </c>
      <c r="AV117" s="22">
        <f>SUM(AT$3:AT117)/1000</f>
        <v>2.2271759264975448</v>
      </c>
    </row>
    <row r="118" spans="1:48" ht="15.6">
      <c r="A118" s="17" t="s">
        <v>63</v>
      </c>
      <c r="B118" s="17">
        <v>175</v>
      </c>
      <c r="C118" s="18">
        <f t="shared" si="33"/>
        <v>132.16779148749171</v>
      </c>
      <c r="D118" s="18">
        <f t="shared" si="34"/>
        <v>123.75226274368852</v>
      </c>
      <c r="E118" s="18">
        <f t="shared" si="44"/>
        <v>127.96002711559012</v>
      </c>
      <c r="F118" s="19">
        <f t="shared" si="54"/>
        <v>0.9290023119152977</v>
      </c>
      <c r="G118" s="19">
        <f t="shared" si="54"/>
        <v>0.87650782504891822</v>
      </c>
      <c r="H118" s="19">
        <f t="shared" si="45"/>
        <v>0.90275506848210796</v>
      </c>
      <c r="I118" s="19">
        <f>(SUM(H$3:H118)/($B118-$B$3+1))</f>
        <v>0.92263150515139081</v>
      </c>
      <c r="J118" s="19"/>
      <c r="K118" s="19">
        <f t="shared" si="46"/>
        <v>3.0284078510909591</v>
      </c>
      <c r="L118" s="19">
        <f t="shared" si="47"/>
        <v>2.7232442205777172</v>
      </c>
      <c r="M118" s="19">
        <f t="shared" si="48"/>
        <v>2.8758260358343382</v>
      </c>
      <c r="N118" s="19">
        <f>(SUM(M$3:M118)/($B118-$B$3+1))</f>
        <v>2.2532444170314201</v>
      </c>
      <c r="O118" s="19">
        <f t="shared" si="60"/>
        <v>3.259849638960937</v>
      </c>
      <c r="P118" s="19">
        <f t="shared" si="61"/>
        <v>3.1069251668411884</v>
      </c>
      <c r="Q118" s="19">
        <f t="shared" si="49"/>
        <v>3.1833874029010625</v>
      </c>
      <c r="R118" s="19">
        <f>(SUM(Q$3:Q118)/($B118-$B$3+1))</f>
        <v>2.4109637514425701</v>
      </c>
      <c r="S118" s="19">
        <f t="shared" si="62"/>
        <v>11.607152197712718</v>
      </c>
      <c r="T118" s="19">
        <f t="shared" si="63"/>
        <v>10.776586568194158</v>
      </c>
      <c r="U118" s="19">
        <f t="shared" si="55"/>
        <v>11.191869382953438</v>
      </c>
      <c r="V118" s="19">
        <f>(SUM(U$3:U118)/($B118-$B$3+1))</f>
        <v>8.3018340285825687</v>
      </c>
      <c r="W118" s="18">
        <f t="shared" si="50"/>
        <v>10.783071226427843</v>
      </c>
      <c r="X118" s="18">
        <f t="shared" si="51"/>
        <v>9.4457624543392473</v>
      </c>
      <c r="Y118" s="20">
        <f t="shared" si="39"/>
        <v>10114.416840383545</v>
      </c>
      <c r="Z118" s="20">
        <f>(SUM(Y$3:Y118)/($B118-$B$3+1))</f>
        <v>7768.3030641469177</v>
      </c>
      <c r="AA118" s="21">
        <f>SUM(Y$3:Y118)/1000</f>
        <v>901.12315544104251</v>
      </c>
      <c r="AB118" s="20">
        <f t="shared" si="40"/>
        <v>3517.0475245555449</v>
      </c>
      <c r="AC118" s="20">
        <f>(SUM(AB$3:AB118)/($B118-$B$3+1))</f>
        <v>3434.3918383421687</v>
      </c>
      <c r="AD118" s="18">
        <f t="shared" si="58"/>
        <v>8.0986522884012384</v>
      </c>
      <c r="AE118" s="18">
        <f t="shared" si="58"/>
        <v>7.282575241941796</v>
      </c>
      <c r="AF118" s="20">
        <f t="shared" si="41"/>
        <v>7690.6137651715171</v>
      </c>
      <c r="AG118" s="20">
        <f>(SUM(AF$3:AF118)/($B118-$B$3+1))</f>
        <v>5906.7190348155445</v>
      </c>
      <c r="AH118" s="22">
        <f>SUM(AF$3:AF118)/1000</f>
        <v>685.17940803860313</v>
      </c>
      <c r="AI118" s="20">
        <v>2674.2277416444304</v>
      </c>
      <c r="AJ118" s="20">
        <f>(SUM(AI$3:AI118)/($B118-$B$3+1))</f>
        <v>2611.3795351492959</v>
      </c>
      <c r="AK118" s="21">
        <f>SUM(AI$3:AI118)/1000</f>
        <v>302.92002607731831</v>
      </c>
      <c r="AL118" s="23">
        <f t="shared" si="52"/>
        <v>1.8374531170788542</v>
      </c>
      <c r="AM118" s="23">
        <f t="shared" si="53"/>
        <v>2.0618023644380328</v>
      </c>
      <c r="AN118" s="24">
        <f t="shared" si="42"/>
        <v>0.64624099369090549</v>
      </c>
      <c r="AO118" s="24">
        <f t="shared" si="43"/>
        <v>0.72514569019695529</v>
      </c>
      <c r="AP118" s="24">
        <f t="shared" si="56"/>
        <v>0.68569334194393039</v>
      </c>
      <c r="AQ118" s="24">
        <f>(SUM(AP$3:AP118)/($B118-$B$3+1))</f>
        <v>0.90814222802010081</v>
      </c>
      <c r="AR118" s="21">
        <f t="shared" si="59"/>
        <v>19.570812989903612</v>
      </c>
      <c r="AS118" s="21">
        <f t="shared" si="59"/>
        <v>19.74748809905698</v>
      </c>
      <c r="AT118" s="21">
        <f t="shared" si="57"/>
        <v>19.659150544480298</v>
      </c>
      <c r="AU118" s="21">
        <f>(SUM(AT$3:AT118)/($B118-$B$3+1))</f>
        <v>19.369267905534699</v>
      </c>
      <c r="AV118" s="22">
        <f>SUM(AT$3:AT118)/1000</f>
        <v>2.2468350770420251</v>
      </c>
    </row>
    <row r="119" spans="1:48" ht="15.6">
      <c r="A119" s="17" t="s">
        <v>63</v>
      </c>
      <c r="B119" s="17">
        <v>176</v>
      </c>
      <c r="C119" s="18">
        <f t="shared" si="33"/>
        <v>133.09679379940701</v>
      </c>
      <c r="D119" s="18">
        <f t="shared" si="34"/>
        <v>124.62877056873744</v>
      </c>
      <c r="E119" s="18">
        <f t="shared" si="44"/>
        <v>128.86278218407222</v>
      </c>
      <c r="F119" s="19">
        <f t="shared" si="54"/>
        <v>0.92511780008774736</v>
      </c>
      <c r="G119" s="19">
        <f t="shared" si="54"/>
        <v>0.87364339312276229</v>
      </c>
      <c r="H119" s="19">
        <f t="shared" si="45"/>
        <v>0.89938059660525482</v>
      </c>
      <c r="I119" s="19">
        <f>(SUM(H$3:H119)/($B119-$B$3+1))</f>
        <v>0.92243277943732127</v>
      </c>
      <c r="J119" s="19"/>
      <c r="K119" s="19">
        <f t="shared" si="46"/>
        <v>3.0302388675712297</v>
      </c>
      <c r="L119" s="19">
        <f t="shared" si="47"/>
        <v>2.7284564738257617</v>
      </c>
      <c r="M119" s="19">
        <f t="shared" si="48"/>
        <v>2.879347670698496</v>
      </c>
      <c r="N119" s="19">
        <f>(SUM(M$3:M119)/($B119-$B$3+1))</f>
        <v>2.2585957268918224</v>
      </c>
      <c r="O119" s="19">
        <f t="shared" si="60"/>
        <v>3.2755167690901761</v>
      </c>
      <c r="P119" s="19">
        <f t="shared" si="61"/>
        <v>3.123078014787168</v>
      </c>
      <c r="Q119" s="19">
        <f t="shared" si="49"/>
        <v>3.1992973919386722</v>
      </c>
      <c r="R119" s="19">
        <f>(SUM(Q$3:Q119)/($B119-$B$3+1))</f>
        <v>2.4177016458057845</v>
      </c>
      <c r="S119" s="19">
        <f t="shared" si="62"/>
        <v>11.665805227436779</v>
      </c>
      <c r="T119" s="19">
        <f t="shared" si="63"/>
        <v>10.834979244386977</v>
      </c>
      <c r="U119" s="19">
        <f t="shared" si="55"/>
        <v>11.250392235911878</v>
      </c>
      <c r="V119" s="19">
        <f>(SUM(U$3:U119)/($B119-$B$3+1))</f>
        <v>8.3270353807819664</v>
      </c>
      <c r="W119" s="18">
        <f t="shared" si="50"/>
        <v>10.792244068258457</v>
      </c>
      <c r="X119" s="18">
        <f t="shared" si="51"/>
        <v>9.4659080314809412</v>
      </c>
      <c r="Y119" s="20">
        <f t="shared" si="39"/>
        <v>10129.076049869698</v>
      </c>
      <c r="Z119" s="20">
        <f>(SUM(Y$3:Y119)/($B119-$B$3+1))</f>
        <v>7788.4806110334375</v>
      </c>
      <c r="AA119" s="21">
        <f>SUM(Y$3:Y119)/1000</f>
        <v>911.2522314909121</v>
      </c>
      <c r="AB119" s="20">
        <f t="shared" si="40"/>
        <v>3517.837096557535</v>
      </c>
      <c r="AC119" s="20">
        <f>(SUM(AB$3:AB119)/($B119-$B$3+1))</f>
        <v>3435.1050456773428</v>
      </c>
      <c r="AD119" s="18">
        <f t="shared" si="58"/>
        <v>8.1053680782777491</v>
      </c>
      <c r="AE119" s="18">
        <f t="shared" si="58"/>
        <v>7.2981520508457915</v>
      </c>
      <c r="AF119" s="20">
        <f t="shared" si="41"/>
        <v>7701.7600645617704</v>
      </c>
      <c r="AG119" s="20">
        <f>(SUM(AF$3:AF119)/($B119-$B$3+1))</f>
        <v>5922.0612658390164</v>
      </c>
      <c r="AH119" s="22">
        <f>SUM(AF$3:AF119)/1000</f>
        <v>692.8811681031649</v>
      </c>
      <c r="AI119" s="20">
        <v>2674.8281018434341</v>
      </c>
      <c r="AJ119" s="20">
        <f>(SUM(AI$3:AI119)/($B119-$B$3+1))</f>
        <v>2611.9218305911259</v>
      </c>
      <c r="AK119" s="21">
        <f>SUM(AI$3:AI119)/1000</f>
        <v>305.5948541791617</v>
      </c>
      <c r="AL119" s="23">
        <f t="shared" si="52"/>
        <v>1.8361100643567703</v>
      </c>
      <c r="AM119" s="23">
        <f t="shared" si="53"/>
        <v>2.0625819816073503</v>
      </c>
      <c r="AN119" s="24">
        <f t="shared" si="42"/>
        <v>0.64591360977568901</v>
      </c>
      <c r="AO119" s="24">
        <f t="shared" si="43"/>
        <v>0.72558274095894881</v>
      </c>
      <c r="AP119" s="24">
        <f t="shared" si="56"/>
        <v>0.68574817536731891</v>
      </c>
      <c r="AQ119" s="24">
        <f>(SUM(AP$3:AP119)/($B119-$B$3+1))</f>
        <v>0.90624142415127373</v>
      </c>
      <c r="AR119" s="21">
        <f t="shared" si="59"/>
        <v>19.572725254355291</v>
      </c>
      <c r="AS119" s="21">
        <f t="shared" si="59"/>
        <v>19.797209268656843</v>
      </c>
      <c r="AT119" s="21">
        <f t="shared" si="57"/>
        <v>19.684967261506067</v>
      </c>
      <c r="AU119" s="21">
        <f>(SUM(AT$3:AT119)/($B119-$B$3+1))</f>
        <v>19.371966190628473</v>
      </c>
      <c r="AV119" s="22">
        <f>SUM(AT$3:AT119)/1000</f>
        <v>2.2665200443035314</v>
      </c>
    </row>
    <row r="120" spans="1:48" ht="15.6">
      <c r="A120" s="17" t="s">
        <v>63</v>
      </c>
      <c r="B120" s="17">
        <v>177</v>
      </c>
      <c r="C120" s="18">
        <f t="shared" si="33"/>
        <v>134.02191159949476</v>
      </c>
      <c r="D120" s="18">
        <f t="shared" si="34"/>
        <v>125.5024139618602</v>
      </c>
      <c r="E120" s="18">
        <f t="shared" si="44"/>
        <v>129.76216278067747</v>
      </c>
      <c r="F120" s="19">
        <f t="shared" si="54"/>
        <v>0.92119969634774179</v>
      </c>
      <c r="G120" s="19">
        <f t="shared" si="54"/>
        <v>0.87074662925726898</v>
      </c>
      <c r="H120" s="19">
        <f t="shared" si="45"/>
        <v>0.89597316280250539</v>
      </c>
      <c r="I120" s="19">
        <f>(SUM(H$3:H120)/($B120-$B$3+1))</f>
        <v>0.92220854539804309</v>
      </c>
      <c r="J120" s="19"/>
      <c r="K120" s="19">
        <f t="shared" si="46"/>
        <v>3.0319966264991964</v>
      </c>
      <c r="L120" s="19">
        <f t="shared" si="47"/>
        <v>2.7335826286235747</v>
      </c>
      <c r="M120" s="19">
        <f t="shared" si="48"/>
        <v>2.8827896275613858</v>
      </c>
      <c r="N120" s="19">
        <f>(SUM(M$3:M120)/($B120-$B$3+1))</f>
        <v>2.2638855057110563</v>
      </c>
      <c r="O120" s="19">
        <f t="shared" si="60"/>
        <v>3.2913565196776338</v>
      </c>
      <c r="P120" s="19">
        <f t="shared" si="61"/>
        <v>3.139354821224253</v>
      </c>
      <c r="Q120" s="19">
        <f t="shared" si="49"/>
        <v>3.2153556704509434</v>
      </c>
      <c r="R120" s="19">
        <f>(SUM(Q$3:Q120)/($B120-$B$3+1))</f>
        <v>2.4244614256756587</v>
      </c>
      <c r="S120" s="19">
        <f t="shared" si="62"/>
        <v>11.725030177134986</v>
      </c>
      <c r="T120" s="19">
        <f t="shared" si="63"/>
        <v>10.89379582621836</v>
      </c>
      <c r="U120" s="19">
        <f t="shared" si="55"/>
        <v>11.309413001676674</v>
      </c>
      <c r="V120" s="19">
        <f>(SUM(U$3:U120)/($B120-$B$3+1))</f>
        <v>8.3523097673997171</v>
      </c>
      <c r="W120" s="18">
        <f t="shared" si="50"/>
        <v>10.801094238844858</v>
      </c>
      <c r="X120" s="18">
        <f t="shared" si="51"/>
        <v>9.4857359954965421</v>
      </c>
      <c r="Y120" s="20">
        <f t="shared" si="39"/>
        <v>10143.4151171707</v>
      </c>
      <c r="Z120" s="20">
        <f>(SUM(Y$3:Y120)/($B120-$B$3+1))</f>
        <v>7808.4376831193458</v>
      </c>
      <c r="AA120" s="21">
        <f>SUM(Y$3:Y120)/1000</f>
        <v>921.39564660808276</v>
      </c>
      <c r="AB120" s="20">
        <f t="shared" si="40"/>
        <v>3518.6109385828595</v>
      </c>
      <c r="AC120" s="20">
        <f>(SUM(AB$3:AB120)/($B120-$B$3+1))</f>
        <v>3435.8127227358641</v>
      </c>
      <c r="AD120" s="18">
        <f t="shared" si="58"/>
        <v>8.1118538072491475</v>
      </c>
      <c r="AE120" s="18">
        <f t="shared" si="58"/>
        <v>7.3134720730323863</v>
      </c>
      <c r="AF120" s="20">
        <f t="shared" si="41"/>
        <v>7712.6629401407672</v>
      </c>
      <c r="AG120" s="20">
        <f>(SUM(AF$3:AF120)/($B120-$B$3+1))</f>
        <v>5937.2358562992003</v>
      </c>
      <c r="AH120" s="22">
        <f>SUM(AF$3:AF120)/1000</f>
        <v>700.59383104330573</v>
      </c>
      <c r="AI120" s="20">
        <v>2675.4165015728449</v>
      </c>
      <c r="AJ120" s="20">
        <f>(SUM(AI$3:AI120)/($B120-$B$3+1))</f>
        <v>2612.459921023174</v>
      </c>
      <c r="AK120" s="21">
        <f>SUM(AI$3:AI120)/1000</f>
        <v>308.27027068073454</v>
      </c>
      <c r="AL120" s="23">
        <f t="shared" si="52"/>
        <v>1.8350227336330476</v>
      </c>
      <c r="AM120" s="23">
        <f t="shared" si="53"/>
        <v>2.0636563120539133</v>
      </c>
      <c r="AN120" s="24">
        <f t="shared" si="42"/>
        <v>0.64567310631094621</v>
      </c>
      <c r="AO120" s="24">
        <f t="shared" si="43"/>
        <v>0.72612036730684626</v>
      </c>
      <c r="AP120" s="24">
        <f t="shared" si="56"/>
        <v>0.68589673680889618</v>
      </c>
      <c r="AQ120" s="24">
        <f>(SUM(AP$3:AP120)/($B120-$B$3+1))</f>
        <v>0.90437409629244003</v>
      </c>
      <c r="AR120" s="21">
        <f t="shared" si="59"/>
        <v>19.576786801560459</v>
      </c>
      <c r="AS120" s="21">
        <f t="shared" si="59"/>
        <v>19.849100223597642</v>
      </c>
      <c r="AT120" s="21">
        <f t="shared" si="57"/>
        <v>19.712943512579052</v>
      </c>
      <c r="AU120" s="21">
        <f>(SUM(AT$3:AT120)/($B120-$B$3+1))</f>
        <v>19.374855828950089</v>
      </c>
      <c r="AV120" s="22">
        <f>SUM(AT$3:AT120)/1000</f>
        <v>2.2862329878161103</v>
      </c>
    </row>
    <row r="121" spans="1:48" ht="15.6">
      <c r="A121" s="17" t="s">
        <v>63</v>
      </c>
      <c r="B121" s="17">
        <v>178</v>
      </c>
      <c r="C121" s="18">
        <f t="shared" si="33"/>
        <v>134.9431112958425</v>
      </c>
      <c r="D121" s="18">
        <f t="shared" si="34"/>
        <v>126.37316059111747</v>
      </c>
      <c r="E121" s="18">
        <f t="shared" si="44"/>
        <v>130.65813594347998</v>
      </c>
      <c r="F121" s="19">
        <f t="shared" si="54"/>
        <v>0.91724942389546982</v>
      </c>
      <c r="G121" s="19">
        <f t="shared" si="54"/>
        <v>0.86781857437230769</v>
      </c>
      <c r="H121" s="19">
        <f t="shared" si="45"/>
        <v>0.89253399913388876</v>
      </c>
      <c r="I121" s="19">
        <f>(SUM(H$3:H121)/($B121-$B$3+1))</f>
        <v>0.92195917946305028</v>
      </c>
      <c r="J121" s="19"/>
      <c r="K121" s="19">
        <f t="shared" si="46"/>
        <v>3.0336840509008058</v>
      </c>
      <c r="L121" s="19">
        <f t="shared" si="47"/>
        <v>2.7386241706305476</v>
      </c>
      <c r="M121" s="19">
        <f t="shared" si="48"/>
        <v>2.886154110765677</v>
      </c>
      <c r="N121" s="19">
        <f>(SUM(M$3:M121)/($B121-$B$3+1))</f>
        <v>2.269114653652692</v>
      </c>
      <c r="O121" s="19">
        <f t="shared" si="60"/>
        <v>3.3073708981108347</v>
      </c>
      <c r="P121" s="19">
        <f t="shared" si="61"/>
        <v>3.1557565734420834</v>
      </c>
      <c r="Q121" s="19">
        <f t="shared" si="49"/>
        <v>3.2315637357764588</v>
      </c>
      <c r="R121" s="19">
        <f>(SUM(Q$3:Q121)/($B121-$B$3+1))</f>
        <v>2.4312437980294468</v>
      </c>
      <c r="S121" s="19">
        <f t="shared" si="62"/>
        <v>11.784834923241961</v>
      </c>
      <c r="T121" s="19">
        <f t="shared" si="63"/>
        <v>10.953039933668256</v>
      </c>
      <c r="U121" s="19">
        <f t="shared" si="55"/>
        <v>11.368937428455109</v>
      </c>
      <c r="V121" s="19">
        <f>(SUM(U$3:U121)/($B121-$B$3+1))</f>
        <v>8.3776595796774931</v>
      </c>
      <c r="W121" s="18">
        <f t="shared" si="50"/>
        <v>10.809633044046903</v>
      </c>
      <c r="X121" s="18">
        <f t="shared" si="51"/>
        <v>9.5052515002789413</v>
      </c>
      <c r="Y121" s="20">
        <f t="shared" si="39"/>
        <v>10157.442272162922</v>
      </c>
      <c r="Z121" s="20">
        <f>(SUM(Y$3:Y121)/($B121-$B$3+1))</f>
        <v>7828.1772174810558</v>
      </c>
      <c r="AA121" s="21">
        <f>SUM(Y$3:Y121)/1000</f>
        <v>931.5530888802457</v>
      </c>
      <c r="AB121" s="20">
        <f t="shared" si="40"/>
        <v>3519.3693345322513</v>
      </c>
      <c r="AC121" s="20">
        <f>(SUM(AB$3:AB121)/($B121-$B$3+1))</f>
        <v>3436.5148791375145</v>
      </c>
      <c r="AD121" s="18">
        <f t="shared" si="58"/>
        <v>8.1181177598000858</v>
      </c>
      <c r="AE121" s="18">
        <f t="shared" si="58"/>
        <v>7.328539539380194</v>
      </c>
      <c r="AF121" s="20">
        <f t="shared" si="41"/>
        <v>7723.3286495901402</v>
      </c>
      <c r="AG121" s="20">
        <f>(SUM(AF$3:AF121)/($B121-$B$3+1))</f>
        <v>5952.2450394360994</v>
      </c>
      <c r="AH121" s="22">
        <f>SUM(AF$3:AF121)/1000</f>
        <v>708.31715969289587</v>
      </c>
      <c r="AI121" s="20">
        <v>2675.9931566998666</v>
      </c>
      <c r="AJ121" s="20">
        <f>(SUM(AI$3:AI121)/($B121-$B$3+1))</f>
        <v>2612.9938137599529</v>
      </c>
      <c r="AK121" s="21">
        <f>SUM(AI$3:AI121)/1000</f>
        <v>310.9462638374344</v>
      </c>
      <c r="AL121" s="23">
        <f t="shared" si="52"/>
        <v>1.8341880068939669</v>
      </c>
      <c r="AM121" s="23">
        <f t="shared" si="53"/>
        <v>2.0650223804585046</v>
      </c>
      <c r="AN121" s="24">
        <f t="shared" si="42"/>
        <v>0.64551850252294574</v>
      </c>
      <c r="AO121" s="24">
        <f t="shared" si="43"/>
        <v>0.72675764409084531</v>
      </c>
      <c r="AP121" s="24">
        <f t="shared" si="56"/>
        <v>0.68613807330689558</v>
      </c>
      <c r="AQ121" s="24">
        <f>(SUM(AP$3:AP121)/($B121-$B$3+1))</f>
        <v>0.90254018013289761</v>
      </c>
      <c r="AR121" s="21">
        <f t="shared" si="59"/>
        <v>19.58299185665232</v>
      </c>
      <c r="AS121" s="21">
        <f t="shared" si="59"/>
        <v>19.90316050297702</v>
      </c>
      <c r="AT121" s="21">
        <f t="shared" si="57"/>
        <v>19.743076179814672</v>
      </c>
      <c r="AU121" s="21">
        <f>(SUM(AT$3:AT121)/($B121-$B$3+1))</f>
        <v>19.377950117612816</v>
      </c>
      <c r="AV121" s="22">
        <f>SUM(AT$3:AT121)/1000</f>
        <v>2.3059760639959248</v>
      </c>
    </row>
    <row r="122" spans="1:48" ht="15.6">
      <c r="A122" s="17" t="s">
        <v>63</v>
      </c>
      <c r="B122" s="17">
        <v>179</v>
      </c>
      <c r="C122" s="18">
        <f t="shared" si="33"/>
        <v>135.86036071973797</v>
      </c>
      <c r="D122" s="18">
        <f t="shared" si="34"/>
        <v>127.24097916548978</v>
      </c>
      <c r="E122" s="18">
        <f t="shared" si="44"/>
        <v>131.55066994261387</v>
      </c>
      <c r="F122" s="19">
        <f t="shared" si="54"/>
        <v>0.91326838209707262</v>
      </c>
      <c r="G122" s="19">
        <f t="shared" si="54"/>
        <v>0.86486025479045736</v>
      </c>
      <c r="H122" s="19">
        <f t="shared" si="45"/>
        <v>0.88906431844376499</v>
      </c>
      <c r="I122" s="19">
        <f>(SUM(H$3:H122)/($B122-$B$3+1))</f>
        <v>0.92168505562122294</v>
      </c>
      <c r="J122" s="19"/>
      <c r="K122" s="19">
        <f t="shared" si="46"/>
        <v>3.0353039542792839</v>
      </c>
      <c r="L122" s="19">
        <f t="shared" si="47"/>
        <v>2.7435825634221063</v>
      </c>
      <c r="M122" s="19">
        <f t="shared" si="48"/>
        <v>2.8894432588506951</v>
      </c>
      <c r="N122" s="19">
        <f>(SUM(M$3:M122)/($B122-$B$3+1))</f>
        <v>2.2742840586960087</v>
      </c>
      <c r="O122" s="19">
        <f t="shared" si="60"/>
        <v>3.323561850799579</v>
      </c>
      <c r="P122" s="19">
        <f t="shared" si="61"/>
        <v>3.1722842484961169</v>
      </c>
      <c r="Q122" s="19">
        <f t="shared" si="49"/>
        <v>3.2479230496478477</v>
      </c>
      <c r="R122" s="19">
        <f>(SUM(Q$3:Q122)/($B122-$B$3+1))</f>
        <v>2.4380494584596004</v>
      </c>
      <c r="S122" s="19">
        <f t="shared" si="62"/>
        <v>11.845227139537068</v>
      </c>
      <c r="T122" s="19">
        <f t="shared" si="63"/>
        <v>11.012715151567525</v>
      </c>
      <c r="U122" s="19">
        <f t="shared" si="55"/>
        <v>11.428971145552296</v>
      </c>
      <c r="V122" s="19">
        <f>(SUM(U$3:U122)/($B122-$B$3+1))</f>
        <v>8.4030871760597829</v>
      </c>
      <c r="W122" s="18">
        <f t="shared" si="50"/>
        <v>10.817871425297353</v>
      </c>
      <c r="X122" s="18">
        <f t="shared" si="51"/>
        <v>9.5244596319194201</v>
      </c>
      <c r="Y122" s="20">
        <f t="shared" si="39"/>
        <v>10171.165528608388</v>
      </c>
      <c r="Z122" s="20">
        <f>(SUM(Y$3:Y122)/($B122-$B$3+1))</f>
        <v>7847.7021200737836</v>
      </c>
      <c r="AA122" s="21">
        <f>SUM(Y$3:Y122)/1000</f>
        <v>941.72425440885411</v>
      </c>
      <c r="AB122" s="20">
        <f t="shared" si="40"/>
        <v>3520.1125675172698</v>
      </c>
      <c r="AC122" s="20">
        <f>(SUM(AB$3:AB122)/($B122-$B$3+1))</f>
        <v>3437.2115265406787</v>
      </c>
      <c r="AD122" s="18">
        <f t="shared" si="58"/>
        <v>8.1241679387058632</v>
      </c>
      <c r="AE122" s="18">
        <f t="shared" si="58"/>
        <v>7.3433586338271013</v>
      </c>
      <c r="AF122" s="20">
        <f t="shared" si="41"/>
        <v>7733.7632862664823</v>
      </c>
      <c r="AG122" s="20">
        <f>(SUM(AF$3:AF122)/($B122-$B$3+1))</f>
        <v>5967.0910248263526</v>
      </c>
      <c r="AH122" s="22">
        <f>SUM(AF$3:AF122)/1000</f>
        <v>716.05092297916235</v>
      </c>
      <c r="AI122" s="20">
        <v>2676.5582824916464</v>
      </c>
      <c r="AJ122" s="20">
        <f>(SUM(AI$3:AI122)/($B122-$B$3+1))</f>
        <v>2613.5235176660503</v>
      </c>
      <c r="AK122" s="21">
        <f>SUM(AI$3:AI122)/1000</f>
        <v>313.62282211992607</v>
      </c>
      <c r="AL122" s="23">
        <f t="shared" si="52"/>
        <v>1.8336027426653865</v>
      </c>
      <c r="AM122" s="23">
        <f t="shared" si="53"/>
        <v>2.0666771795915753</v>
      </c>
      <c r="AN122" s="24">
        <f t="shared" si="42"/>
        <v>0.64544880582905617</v>
      </c>
      <c r="AO122" s="24">
        <f t="shared" si="43"/>
        <v>0.72749363128814504</v>
      </c>
      <c r="AP122" s="24">
        <f t="shared" si="56"/>
        <v>0.6864712185586006</v>
      </c>
      <c r="AQ122" s="24">
        <f>(SUM(AP$3:AP122)/($B122-$B$3+1))</f>
        <v>0.90073960545311171</v>
      </c>
      <c r="AR122" s="21">
        <f t="shared" si="59"/>
        <v>19.591333126177759</v>
      </c>
      <c r="AS122" s="21">
        <f t="shared" si="59"/>
        <v>19.959388418027856</v>
      </c>
      <c r="AT122" s="21">
        <f t="shared" si="57"/>
        <v>19.775360772102808</v>
      </c>
      <c r="AU122" s="21">
        <f>(SUM(AT$3:AT122)/($B122-$B$3+1))</f>
        <v>19.381261873066897</v>
      </c>
      <c r="AV122" s="22">
        <f>SUM(AT$3:AT122)/1000</f>
        <v>2.3257514247680278</v>
      </c>
    </row>
    <row r="123" spans="1:48" ht="15.6">
      <c r="A123" s="17" t="s">
        <v>63</v>
      </c>
      <c r="B123" s="17">
        <v>180</v>
      </c>
      <c r="C123" s="18">
        <f t="shared" si="33"/>
        <v>136.77362910183504</v>
      </c>
      <c r="D123" s="18">
        <f t="shared" si="34"/>
        <v>128.10583942028023</v>
      </c>
      <c r="E123" s="18">
        <f t="shared" si="44"/>
        <v>132.43973426105765</v>
      </c>
      <c r="F123" s="19">
        <f t="shared" si="54"/>
        <v>0.9092579464807784</v>
      </c>
      <c r="G123" s="19">
        <f t="shared" si="54"/>
        <v>0.86187268220984947</v>
      </c>
      <c r="H123" s="19">
        <f t="shared" si="45"/>
        <v>0.88556531434531394</v>
      </c>
      <c r="I123" s="19">
        <f>(SUM(H$3:H123)/($B123-$B$3+1))</f>
        <v>0.92138654536274434</v>
      </c>
      <c r="J123" s="19"/>
      <c r="K123" s="19">
        <f t="shared" si="46"/>
        <v>3.0368590440117331</v>
      </c>
      <c r="L123" s="19">
        <f t="shared" si="47"/>
        <v>2.7484592485773245</v>
      </c>
      <c r="M123" s="19">
        <f t="shared" si="48"/>
        <v>2.8926591462945286</v>
      </c>
      <c r="N123" s="19">
        <f>(SUM(M$3:M123)/($B123-$B$3+1))</f>
        <v>2.2793945966100457</v>
      </c>
      <c r="O123" s="19">
        <f t="shared" si="60"/>
        <v>3.3399312656718498</v>
      </c>
      <c r="P123" s="19">
        <f t="shared" si="61"/>
        <v>3.1889388134802577</v>
      </c>
      <c r="Q123" s="19">
        <f t="shared" si="49"/>
        <v>3.2644350395760537</v>
      </c>
      <c r="R123" s="19">
        <f>(SUM(Q$3:Q123)/($B123-$B$3+1))</f>
        <v>2.4448790913613889</v>
      </c>
      <c r="S123" s="19">
        <f t="shared" si="62"/>
        <v>11.906214304065488</v>
      </c>
      <c r="T123" s="19">
        <f t="shared" si="63"/>
        <v>11.072825030442306</v>
      </c>
      <c r="U123" s="19">
        <f t="shared" si="55"/>
        <v>11.489519667253898</v>
      </c>
      <c r="V123" s="19">
        <f>(SUM(U$3:U123)/($B123-$B$3+1))</f>
        <v>8.4285948825985777</v>
      </c>
      <c r="W123" s="18">
        <f t="shared" si="50"/>
        <v>10.825819968474656</v>
      </c>
      <c r="X123" s="18">
        <f t="shared" si="51"/>
        <v>9.5433654086276682</v>
      </c>
      <c r="Y123" s="20">
        <f t="shared" si="39"/>
        <v>10184.592688551164</v>
      </c>
      <c r="Z123" s="20">
        <f>(SUM(Y$3:Y123)/($B123-$B$3+1))</f>
        <v>7867.0152652678116</v>
      </c>
      <c r="AA123" s="21">
        <f>SUM(Y$3:Y123)/1000</f>
        <v>951.90884709740521</v>
      </c>
      <c r="AB123" s="20">
        <f t="shared" si="40"/>
        <v>3520.8409195385289</v>
      </c>
      <c r="AC123" s="20">
        <f>(SUM(AB$3:AB123)/($B123-$B$3+1))</f>
        <v>3437.9026785489255</v>
      </c>
      <c r="AD123" s="18">
        <f t="shared" si="58"/>
        <v>8.130012072585723</v>
      </c>
      <c r="AE123" s="18">
        <f t="shared" si="58"/>
        <v>7.3579334925026565</v>
      </c>
      <c r="AF123" s="20">
        <f t="shared" si="41"/>
        <v>7743.9727825441896</v>
      </c>
      <c r="AG123" s="20">
        <f>(SUM(AF$3:AF123)/($B123-$B$3+1))</f>
        <v>5981.7759980306328</v>
      </c>
      <c r="AH123" s="22">
        <f>SUM(AF$3:AF123)/1000</f>
        <v>723.79489576170647</v>
      </c>
      <c r="AI123" s="20">
        <v>2677.1120933706106</v>
      </c>
      <c r="AJ123" s="20">
        <f>(SUM(AI$3:AI123)/($B123-$B$3+1))</f>
        <v>2614.0490430850959</v>
      </c>
      <c r="AK123" s="21">
        <f>SUM(AI$3:AI123)/1000</f>
        <v>316.29993421329664</v>
      </c>
      <c r="AL123" s="23">
        <f t="shared" si="52"/>
        <v>1.833263778299083</v>
      </c>
      <c r="AM123" s="23">
        <f t="shared" si="53"/>
        <v>2.0686176723944656</v>
      </c>
      <c r="AN123" s="24">
        <f t="shared" si="42"/>
        <v>0.64546301269432216</v>
      </c>
      <c r="AO123" s="24">
        <f t="shared" si="43"/>
        <v>0.72832737478469822</v>
      </c>
      <c r="AP123" s="24">
        <f t="shared" si="56"/>
        <v>0.68689519373951025</v>
      </c>
      <c r="AQ123" s="24">
        <f>(SUM(AP$3:AP123)/($B123-$B$3+1))</f>
        <v>0.8989722962653961</v>
      </c>
      <c r="AR123" s="21">
        <f t="shared" si="59"/>
        <v>19.601801876758124</v>
      </c>
      <c r="AS123" s="21">
        <f t="shared" si="59"/>
        <v>20.017781092190472</v>
      </c>
      <c r="AT123" s="21">
        <f t="shared" si="57"/>
        <v>19.809791484474296</v>
      </c>
      <c r="AU123" s="21">
        <f>(SUM(AT$3:AT123)/($B123-$B$3+1))</f>
        <v>19.384803440103322</v>
      </c>
      <c r="AV123" s="22">
        <f>SUM(AT$3:AT123)/1000</f>
        <v>2.3455612162525021</v>
      </c>
    </row>
    <row r="124" spans="1:48" ht="15.6">
      <c r="A124" s="17" t="s">
        <v>63</v>
      </c>
      <c r="B124" s="17">
        <v>181</v>
      </c>
      <c r="C124" s="18">
        <f t="shared" si="33"/>
        <v>137.68288704831582</v>
      </c>
      <c r="D124" s="18">
        <f t="shared" si="34"/>
        <v>128.96771210249008</v>
      </c>
      <c r="E124" s="18">
        <f t="shared" si="44"/>
        <v>133.32529957540294</v>
      </c>
      <c r="F124" s="19">
        <f t="shared" si="54"/>
        <v>0.90521946875094272</v>
      </c>
      <c r="G124" s="19">
        <f t="shared" si="54"/>
        <v>0.85885685368538134</v>
      </c>
      <c r="H124" s="19">
        <f t="shared" si="45"/>
        <v>0.88203816121816203</v>
      </c>
      <c r="I124" s="19">
        <f>(SUM(H$3:H124)/($B124-$B$3+1))</f>
        <v>0.92106401762385426</v>
      </c>
      <c r="J124" s="19"/>
      <c r="K124" s="19">
        <f t="shared" si="46"/>
        <v>3.0383519246994233</v>
      </c>
      <c r="L124" s="19">
        <f t="shared" si="47"/>
        <v>2.7532556457805439</v>
      </c>
      <c r="M124" s="19">
        <f t="shared" si="48"/>
        <v>2.8958037852399836</v>
      </c>
      <c r="N124" s="19">
        <f>(SUM(M$3:M124)/($B124-$B$3+1))</f>
        <v>2.2844471309430783</v>
      </c>
      <c r="O124" s="19">
        <f t="shared" si="60"/>
        <v>3.3564809745992985</v>
      </c>
      <c r="P124" s="19">
        <f t="shared" si="61"/>
        <v>3.2057212257971033</v>
      </c>
      <c r="Q124" s="19">
        <f t="shared" si="49"/>
        <v>3.2811011001982009</v>
      </c>
      <c r="R124" s="19">
        <f>(SUM(Q$3:Q124)/($B124-$B$3+1))</f>
        <v>2.4517333701223465</v>
      </c>
      <c r="S124" s="19">
        <f t="shared" si="62"/>
        <v>11.967803705916397</v>
      </c>
      <c r="T124" s="19">
        <f t="shared" si="63"/>
        <v>11.133373087354789</v>
      </c>
      <c r="U124" s="19">
        <f t="shared" si="55"/>
        <v>11.550588396635593</v>
      </c>
      <c r="V124" s="19">
        <f>(SUM(U$3:U124)/($B124-$B$3+1))</f>
        <v>8.454184993369374</v>
      </c>
      <c r="W124" s="18">
        <f t="shared" si="50"/>
        <v>10.833488912785205</v>
      </c>
      <c r="X124" s="18">
        <f t="shared" si="51"/>
        <v>9.5619737807110337</v>
      </c>
      <c r="Y124" s="20">
        <f t="shared" si="39"/>
        <v>10197.73134674812</v>
      </c>
      <c r="Z124" s="20">
        <f>(SUM(Y$3:Y124)/($B124-$B$3+1))</f>
        <v>7886.1194954438797</v>
      </c>
      <c r="AA124" s="21">
        <f>SUM(Y$3:Y124)/1000</f>
        <v>962.10657844415334</v>
      </c>
      <c r="AB124" s="20">
        <f t="shared" si="40"/>
        <v>3521.5546711853631</v>
      </c>
      <c r="AC124" s="20">
        <f>(SUM(AB$3:AB124)/($B124-$B$3+1))</f>
        <v>3438.588350619716</v>
      </c>
      <c r="AD124" s="18">
        <f t="shared" si="58"/>
        <v>8.1356576234219773</v>
      </c>
      <c r="AE124" s="18">
        <f t="shared" si="58"/>
        <v>7.3722682029469038</v>
      </c>
      <c r="AF124" s="20">
        <f t="shared" si="41"/>
        <v>7753.9629131844404</v>
      </c>
      <c r="AG124" s="20">
        <f>(SUM(AF$3:AF124)/($B124-$B$3+1))</f>
        <v>5996.3021202859909</v>
      </c>
      <c r="AH124" s="22">
        <f>SUM(AF$3:AF124)/1000</f>
        <v>731.54885867489099</v>
      </c>
      <c r="AI124" s="20">
        <v>2677.6548026861037</v>
      </c>
      <c r="AJ124" s="20">
        <f>(SUM(AI$3:AI124)/($B124-$B$3+1))</f>
        <v>2614.5704017703506</v>
      </c>
      <c r="AK124" s="21">
        <f>SUM(AI$3:AI124)/1000</f>
        <v>318.97758901598274</v>
      </c>
      <c r="AL124" s="23">
        <f t="shared" si="52"/>
        <v>1.8331679321994598</v>
      </c>
      <c r="AM124" s="23">
        <f t="shared" si="53"/>
        <v>2.0708407940170797</v>
      </c>
      <c r="AN124" s="24">
        <f t="shared" si="42"/>
        <v>0.64556010947042197</v>
      </c>
      <c r="AO124" s="24">
        <f t="shared" si="43"/>
        <v>0.72925790714520533</v>
      </c>
      <c r="AP124" s="24">
        <f t="shared" si="56"/>
        <v>0.68740900830781371</v>
      </c>
      <c r="AQ124" s="24">
        <f>(SUM(AP$3:AP124)/($B124-$B$3+1))</f>
        <v>0.89723817095426828</v>
      </c>
      <c r="AR124" s="21">
        <f t="shared" si="59"/>
        <v>19.614388011186268</v>
      </c>
      <c r="AS124" s="21">
        <f t="shared" si="59"/>
        <v>20.078334500776403</v>
      </c>
      <c r="AT124" s="21">
        <f t="shared" si="57"/>
        <v>19.846361255981336</v>
      </c>
      <c r="AU124" s="21">
        <f>(SUM(AT$3:AT124)/($B124-$B$3+1))</f>
        <v>19.38858670088921</v>
      </c>
      <c r="AV124" s="22">
        <f>SUM(AT$3:AT124)/1000</f>
        <v>2.3654075775084835</v>
      </c>
    </row>
    <row r="125" spans="1:48" ht="15.6">
      <c r="A125" s="17" t="s">
        <v>63</v>
      </c>
      <c r="B125" s="17">
        <v>182</v>
      </c>
      <c r="C125" s="18">
        <f t="shared" si="33"/>
        <v>138.58810651706676</v>
      </c>
      <c r="D125" s="18">
        <f t="shared" si="34"/>
        <v>129.82656895617546</v>
      </c>
      <c r="E125" s="18">
        <f t="shared" si="44"/>
        <v>134.20733773662113</v>
      </c>
      <c r="F125" s="19">
        <f t="shared" si="54"/>
        <v>0.90115427681683968</v>
      </c>
      <c r="G125" s="19">
        <f t="shared" si="54"/>
        <v>0.85581375161959272</v>
      </c>
      <c r="H125" s="19">
        <f t="shared" si="45"/>
        <v>0.8784840142182162</v>
      </c>
      <c r="I125" s="19">
        <f>(SUM(H$3:H125)/($B125-$B$3+1))</f>
        <v>0.92071783873437762</v>
      </c>
      <c r="J125" s="19"/>
      <c r="K125" s="19">
        <f t="shared" si="46"/>
        <v>3.0397851014670803</v>
      </c>
      <c r="L125" s="19">
        <f t="shared" si="47"/>
        <v>2.757973152936088</v>
      </c>
      <c r="M125" s="19">
        <f t="shared" si="48"/>
        <v>2.8988791272015844</v>
      </c>
      <c r="N125" s="19">
        <f>(SUM(M$3:M125)/($B125-$B$3+1))</f>
        <v>2.2894425130264811</v>
      </c>
      <c r="O125" s="19">
        <f t="shared" si="60"/>
        <v>3.3732127557609304</v>
      </c>
      <c r="P125" s="19">
        <f t="shared" si="61"/>
        <v>3.2226324334199306</v>
      </c>
      <c r="Q125" s="19">
        <f t="shared" si="49"/>
        <v>3.2979225945904305</v>
      </c>
      <c r="R125" s="19">
        <f>(SUM(Q$3:Q125)/($B125-$B$3+1))</f>
        <v>2.4586129573131439</v>
      </c>
      <c r="S125" s="19">
        <f t="shared" si="62"/>
        <v>12.030002451885647</v>
      </c>
      <c r="T125" s="19">
        <f t="shared" si="63"/>
        <v>11.194362806720038</v>
      </c>
      <c r="U125" s="19">
        <f t="shared" si="55"/>
        <v>11.612182629302843</v>
      </c>
      <c r="V125" s="19">
        <f>(SUM(U$3:U125)/($B125-$B$3+1))</f>
        <v>8.4798597708972885</v>
      </c>
      <c r="W125" s="18">
        <f t="shared" si="50"/>
        <v>10.840888159633819</v>
      </c>
      <c r="X125" s="18">
        <f t="shared" si="51"/>
        <v>9.5802896306099097</v>
      </c>
      <c r="Y125" s="20">
        <f t="shared" si="39"/>
        <v>10210.588895121864</v>
      </c>
      <c r="Z125" s="20">
        <f>(SUM(Y$3:Y125)/($B125-$B$3+1))</f>
        <v>7905.017620644513</v>
      </c>
      <c r="AA125" s="21">
        <f>SUM(Y$3:Y125)/1000</f>
        <v>972.3171673392751</v>
      </c>
      <c r="AB125" s="20">
        <f t="shared" si="40"/>
        <v>3522.2541013562695</v>
      </c>
      <c r="AC125" s="20">
        <f>(SUM(AB$3:AB125)/($B125-$B$3+1))</f>
        <v>3439.2685599752976</v>
      </c>
      <c r="AD125" s="18">
        <f t="shared" si="58"/>
        <v>8.1411117940294773</v>
      </c>
      <c r="AE125" s="18">
        <f t="shared" si="58"/>
        <v>7.3863668034126029</v>
      </c>
      <c r="AF125" s="20">
        <f t="shared" si="41"/>
        <v>7763.7392987210396</v>
      </c>
      <c r="AG125" s="20">
        <f>(SUM(AF$3:AF125)/($B125-$B$3+1))</f>
        <v>6010.6715282407486</v>
      </c>
      <c r="AH125" s="22">
        <f>SUM(AF$3:AF125)/1000</f>
        <v>739.31259797361201</v>
      </c>
      <c r="AI125" s="20">
        <v>2678.1866225018221</v>
      </c>
      <c r="AJ125" s="20">
        <f>(SUM(AI$3:AI125)/($B125-$B$3+1))</f>
        <v>2615.0876068169478</v>
      </c>
      <c r="AK125" s="21">
        <f>SUM(AI$3:AI125)/1000</f>
        <v>321.65577563848456</v>
      </c>
      <c r="AL125" s="23">
        <f t="shared" si="52"/>
        <v>1.8333120059907668</v>
      </c>
      <c r="AM125" s="23">
        <f t="shared" si="53"/>
        <v>2.0733434538119608</v>
      </c>
      <c r="AN125" s="24">
        <f t="shared" si="42"/>
        <v>0.64573907321666679</v>
      </c>
      <c r="AO125" s="24">
        <f t="shared" si="43"/>
        <v>0.7302842483709352</v>
      </c>
      <c r="AP125" s="24">
        <f t="shared" si="56"/>
        <v>0.68801166079380094</v>
      </c>
      <c r="AQ125" s="24">
        <f>(SUM(AP$3:AP125)/($B125-$B$3+1))</f>
        <v>0.89553714241637838</v>
      </c>
      <c r="AR125" s="21">
        <f t="shared" si="59"/>
        <v>19.629080141991839</v>
      </c>
      <c r="AS125" s="21">
        <f t="shared" si="59"/>
        <v>20.141043510191494</v>
      </c>
      <c r="AT125" s="21">
        <f t="shared" si="57"/>
        <v>19.885061826091665</v>
      </c>
      <c r="AU125" s="21">
        <f>(SUM(AT$3:AT125)/($B125-$B$3+1))</f>
        <v>19.392623084020936</v>
      </c>
      <c r="AV125" s="22">
        <f>SUM(AT$3:AT125)/1000</f>
        <v>2.3852926393345752</v>
      </c>
    </row>
    <row r="126" spans="1:48" ht="15.6">
      <c r="A126" s="17" t="s">
        <v>63</v>
      </c>
      <c r="B126" s="17">
        <v>183</v>
      </c>
      <c r="C126" s="18">
        <f t="shared" si="33"/>
        <v>139.4892607938836</v>
      </c>
      <c r="D126" s="18">
        <f t="shared" si="34"/>
        <v>130.68238270779506</v>
      </c>
      <c r="E126" s="18">
        <f t="shared" si="44"/>
        <v>135.08582175083933</v>
      </c>
      <c r="F126" s="19">
        <f t="shared" si="54"/>
        <v>0.8970636748383356</v>
      </c>
      <c r="G126" s="19">
        <f t="shared" si="54"/>
        <v>0.8527443437613158</v>
      </c>
      <c r="H126" s="19">
        <f t="shared" si="45"/>
        <v>0.8749040092998257</v>
      </c>
      <c r="I126" s="19">
        <f>(SUM(H$3:H126)/($B126-$B$3+1))</f>
        <v>0.92034837236796985</v>
      </c>
      <c r="J126" s="19"/>
      <c r="K126" s="19">
        <f t="shared" si="46"/>
        <v>3.0411609832070519</v>
      </c>
      <c r="L126" s="19">
        <f t="shared" si="47"/>
        <v>2.7626131462952324</v>
      </c>
      <c r="M126" s="19">
        <f t="shared" si="48"/>
        <v>2.9018870647511421</v>
      </c>
      <c r="N126" s="19">
        <f>(SUM(M$3:M126)/($B126-$B$3+1))</f>
        <v>2.2943815819920022</v>
      </c>
      <c r="O126" s="19">
        <f t="shared" si="60"/>
        <v>3.3901283359345866</v>
      </c>
      <c r="P126" s="19">
        <f t="shared" si="61"/>
        <v>3.2396733751522735</v>
      </c>
      <c r="Q126" s="19">
        <f t="shared" si="49"/>
        <v>3.3149008555434301</v>
      </c>
      <c r="R126" s="19">
        <f>(SUM(Q$3:Q126)/($B126-$B$3+1))</f>
        <v>2.4655185048795172</v>
      </c>
      <c r="S126" s="19">
        <f t="shared" si="62"/>
        <v>12.09281747298275</v>
      </c>
      <c r="T126" s="19">
        <f t="shared" si="63"/>
        <v>11.255797641118859</v>
      </c>
      <c r="U126" s="19">
        <f t="shared" si="55"/>
        <v>11.674307557050804</v>
      </c>
      <c r="V126" s="19">
        <f>(SUM(U$3:U126)/($B126-$B$3+1))</f>
        <v>8.505621446592075</v>
      </c>
      <c r="W126" s="18">
        <f t="shared" si="50"/>
        <v>10.848027281463141</v>
      </c>
      <c r="X126" s="18">
        <f t="shared" si="51"/>
        <v>9.5983177729860678</v>
      </c>
      <c r="Y126" s="20">
        <f t="shared" si="39"/>
        <v>10223.172527224606</v>
      </c>
      <c r="Z126" s="20">
        <f>(SUM(Y$3:Y126)/($B126-$B$3+1))</f>
        <v>7923.7124182782236</v>
      </c>
      <c r="AA126" s="21">
        <f>SUM(Y$3:Y126)/1000</f>
        <v>982.54033986649972</v>
      </c>
      <c r="AB126" s="20">
        <f t="shared" si="40"/>
        <v>3522.9394869994076</v>
      </c>
      <c r="AC126" s="20">
        <f>(SUM(AB$3:AB126)/($B126-$B$3+1))</f>
        <v>3439.9433255158151</v>
      </c>
      <c r="AD126" s="18">
        <f t="shared" si="58"/>
        <v>8.1463815354613427</v>
      </c>
      <c r="AE126" s="18">
        <f t="shared" si="58"/>
        <v>7.4002332822477941</v>
      </c>
      <c r="AF126" s="20">
        <f t="shared" si="41"/>
        <v>7773.3074088545691</v>
      </c>
      <c r="AG126" s="20">
        <f>(SUM(AF$3:AF126)/($B126-$B$3+1))</f>
        <v>6024.8863337295697</v>
      </c>
      <c r="AH126" s="22">
        <f>SUM(AF$3:AF126)/1000</f>
        <v>747.08590538246665</v>
      </c>
      <c r="AI126" s="20">
        <v>2678.7077633984995</v>
      </c>
      <c r="AJ126" s="20">
        <f>(SUM(AI$3:AI126)/($B126-$B$3+1))</f>
        <v>2615.6006725958309</v>
      </c>
      <c r="AK126" s="21">
        <f>SUM(AI$3:AI126)/1000</f>
        <v>324.33448340188306</v>
      </c>
      <c r="AL126" s="23">
        <f t="shared" si="52"/>
        <v>1.8336927866250612</v>
      </c>
      <c r="AM126" s="23">
        <f t="shared" si="53"/>
        <v>2.0761225372846703</v>
      </c>
      <c r="AN126" s="24">
        <f t="shared" si="42"/>
        <v>0.64599887250274068</v>
      </c>
      <c r="AO126" s="24">
        <f t="shared" si="43"/>
        <v>0.73140540664495646</v>
      </c>
      <c r="AP126" s="24">
        <f t="shared" si="56"/>
        <v>0.68870213957384863</v>
      </c>
      <c r="AQ126" s="24">
        <f>(SUM(AP$3:AP126)/($B126-$B$3+1))</f>
        <v>0.89386911819990633</v>
      </c>
      <c r="AR126" s="21">
        <f t="shared" si="59"/>
        <v>19.645865662510818</v>
      </c>
      <c r="AS126" s="21">
        <f t="shared" si="59"/>
        <v>20.205901916687669</v>
      </c>
      <c r="AT126" s="21">
        <f t="shared" si="57"/>
        <v>19.925883789599244</v>
      </c>
      <c r="AU126" s="21">
        <f>(SUM(AT$3:AT126)/($B126-$B$3+1))</f>
        <v>19.39692357358205</v>
      </c>
      <c r="AV126" s="22">
        <f>SUM(AT$3:AT126)/1000</f>
        <v>2.4052185231241743</v>
      </c>
    </row>
    <row r="127" spans="1:48" ht="15.6">
      <c r="A127" s="17" t="s">
        <v>63</v>
      </c>
      <c r="B127" s="17">
        <v>184</v>
      </c>
      <c r="C127" s="18">
        <f t="shared" si="33"/>
        <v>140.38632446872194</v>
      </c>
      <c r="D127" s="18">
        <f t="shared" si="34"/>
        <v>131.53512705155637</v>
      </c>
      <c r="E127" s="18">
        <f t="shared" si="44"/>
        <v>135.96072576013916</v>
      </c>
      <c r="F127" s="19">
        <f t="shared" si="54"/>
        <v>0.89294894328565988</v>
      </c>
      <c r="G127" s="19">
        <f t="shared" si="54"/>
        <v>0.84964958321307904</v>
      </c>
      <c r="H127" s="19">
        <f t="shared" si="45"/>
        <v>0.87129926324936946</v>
      </c>
      <c r="I127" s="19">
        <f>(SUM(H$3:H127)/($B127-$B$3+1))</f>
        <v>0.91995597949502106</v>
      </c>
      <c r="J127" s="19"/>
      <c r="K127" s="19">
        <f t="shared" si="46"/>
        <v>3.0424818857647726</v>
      </c>
      <c r="L127" s="19">
        <f t="shared" si="47"/>
        <v>2.7671769805946158</v>
      </c>
      <c r="M127" s="19">
        <f t="shared" si="48"/>
        <v>2.9048294331796942</v>
      </c>
      <c r="N127" s="19">
        <f>(SUM(M$3:M127)/($B127-$B$3+1))</f>
        <v>2.2992651648015041</v>
      </c>
      <c r="O127" s="19">
        <f t="shared" si="60"/>
        <v>3.4072293927240405</v>
      </c>
      <c r="P127" s="19">
        <f t="shared" si="61"/>
        <v>3.2568449808803712</v>
      </c>
      <c r="Q127" s="19">
        <f t="shared" si="49"/>
        <v>3.3320371868022058</v>
      </c>
      <c r="R127" s="19">
        <f>(SUM(Q$3:Q127)/($B127-$B$3+1))</f>
        <v>2.472450654334899</v>
      </c>
      <c r="S127" s="19">
        <f t="shared" si="62"/>
        <v>12.156255530806598</v>
      </c>
      <c r="T127" s="19">
        <f t="shared" si="63"/>
        <v>11.317681012090263</v>
      </c>
      <c r="U127" s="19">
        <f t="shared" si="55"/>
        <v>11.736968271448431</v>
      </c>
      <c r="V127" s="19">
        <f>(SUM(U$3:U127)/($B127-$B$3+1))</f>
        <v>8.5314722211909242</v>
      </c>
      <c r="W127" s="18">
        <f t="shared" si="50"/>
        <v>10.854915530544211</v>
      </c>
      <c r="X127" s="18">
        <f t="shared" si="51"/>
        <v>9.6160629548610714</v>
      </c>
      <c r="Y127" s="20">
        <f t="shared" si="39"/>
        <v>10235.489242702641</v>
      </c>
      <c r="Z127" s="20">
        <f>(SUM(Y$3:Y127)/($B127-$B$3+1))</f>
        <v>7942.2066328736191</v>
      </c>
      <c r="AA127" s="21">
        <f>SUM(Y$3:Y127)/1000</f>
        <v>992.77582910920239</v>
      </c>
      <c r="AB127" s="20">
        <f t="shared" si="40"/>
        <v>3523.6111028724445</v>
      </c>
      <c r="AC127" s="20">
        <f>(SUM(AB$3:AB127)/($B127-$B$3+1))</f>
        <v>3440.6126677346683</v>
      </c>
      <c r="AD127" s="18">
        <f t="shared" si="58"/>
        <v>8.1514735543383505</v>
      </c>
      <c r="AE127" s="18">
        <f t="shared" si="58"/>
        <v>7.4138715773556481</v>
      </c>
      <c r="AF127" s="20">
        <f t="shared" si="41"/>
        <v>7782.6725658469995</v>
      </c>
      <c r="AG127" s="20">
        <f>(SUM(AF$3:AF127)/($B127-$B$3+1))</f>
        <v>6038.9486235865097</v>
      </c>
      <c r="AH127" s="22">
        <f>SUM(AF$3:AF127)/1000</f>
        <v>754.86857794831371</v>
      </c>
      <c r="AI127" s="20">
        <v>2679.2184342913051</v>
      </c>
      <c r="AJ127" s="20">
        <f>(SUM(AI$3:AI127)/($B127-$B$3+1))</f>
        <v>2616.1096146893947</v>
      </c>
      <c r="AK127" s="21">
        <f>SUM(AI$3:AI127)/1000</f>
        <v>327.01370183617433</v>
      </c>
      <c r="AL127" s="23">
        <f t="shared" si="52"/>
        <v>1.8343070484311612</v>
      </c>
      <c r="AM127" s="23">
        <f t="shared" si="53"/>
        <v>2.079174908000478</v>
      </c>
      <c r="AN127" s="24">
        <f t="shared" si="42"/>
        <v>0.64633846819292229</v>
      </c>
      <c r="AO127" s="24">
        <f t="shared" si="43"/>
        <v>0.73262037906442778</v>
      </c>
      <c r="AP127" s="24">
        <f t="shared" si="56"/>
        <v>0.68947942362867498</v>
      </c>
      <c r="AQ127" s="24">
        <f>(SUM(AP$3:AP127)/($B127-$B$3+1))</f>
        <v>0.89223400064333647</v>
      </c>
      <c r="AR127" s="21">
        <f t="shared" si="59"/>
        <v>19.664730815499166</v>
      </c>
      <c r="AS127" s="21">
        <f t="shared" si="59"/>
        <v>20.272902484615862</v>
      </c>
      <c r="AT127" s="21">
        <f t="shared" si="57"/>
        <v>19.968816650057512</v>
      </c>
      <c r="AU127" s="21">
        <f>(SUM(AT$3:AT127)/($B127-$B$3+1))</f>
        <v>19.401498718193853</v>
      </c>
      <c r="AV127" s="22">
        <f>SUM(AT$3:AT127)/1000</f>
        <v>2.4251873397742316</v>
      </c>
    </row>
    <row r="128" spans="1:48" ht="15.6">
      <c r="A128" s="17" t="s">
        <v>63</v>
      </c>
      <c r="B128" s="17">
        <v>185</v>
      </c>
      <c r="C128" s="18">
        <f t="shared" si="33"/>
        <v>141.2792734120076</v>
      </c>
      <c r="D128" s="18">
        <f t="shared" si="34"/>
        <v>132.38477663476945</v>
      </c>
      <c r="E128" s="18">
        <f t="shared" si="44"/>
        <v>136.83202502338852</v>
      </c>
      <c r="F128" s="19">
        <f t="shared" si="54"/>
        <v>0.88881133901347198</v>
      </c>
      <c r="G128" s="19">
        <f t="shared" si="54"/>
        <v>0.8465304084463412</v>
      </c>
      <c r="H128" s="19">
        <f t="shared" si="45"/>
        <v>0.86767087372990659</v>
      </c>
      <c r="I128" s="19">
        <f>(SUM(H$3:H128)/($B128-$B$3+1))</f>
        <v>0.91954101833815516</v>
      </c>
      <c r="J128" s="19"/>
      <c r="K128" s="19">
        <f t="shared" si="46"/>
        <v>3.0437500350624309</v>
      </c>
      <c r="L128" s="19">
        <f t="shared" si="47"/>
        <v>2.7716659892053057</v>
      </c>
      <c r="M128" s="19">
        <f t="shared" si="48"/>
        <v>2.9077080121338685</v>
      </c>
      <c r="N128" s="19">
        <f>(SUM(M$3:M128)/($B128-$B$3+1))</f>
        <v>2.3040940762882687</v>
      </c>
      <c r="O128" s="19">
        <f t="shared" si="60"/>
        <v>3.424517556718857</v>
      </c>
      <c r="P128" s="19">
        <f t="shared" si="61"/>
        <v>3.2741481718208032</v>
      </c>
      <c r="Q128" s="19">
        <f t="shared" si="49"/>
        <v>3.3493328642698303</v>
      </c>
      <c r="R128" s="19">
        <f>(SUM(Q$3:Q128)/($B128-$B$3+1))</f>
        <v>2.4794100369534302</v>
      </c>
      <c r="S128" s="19">
        <f t="shared" si="62"/>
        <v>12.220323223776447</v>
      </c>
      <c r="T128" s="19">
        <f t="shared" si="63"/>
        <v>11.380016310911362</v>
      </c>
      <c r="U128" s="19">
        <f t="shared" si="55"/>
        <v>11.800169767343904</v>
      </c>
      <c r="V128" s="19">
        <f>(SUM(U$3:U128)/($B128-$B$3+1))</f>
        <v>8.5574142652080116</v>
      </c>
      <c r="W128" s="18">
        <f t="shared" si="50"/>
        <v>10.861561847702172</v>
      </c>
      <c r="X128" s="18">
        <f t="shared" si="51"/>
        <v>9.6335298558018199</v>
      </c>
      <c r="Y128" s="20">
        <f t="shared" si="39"/>
        <v>10247.545851751996</v>
      </c>
      <c r="Z128" s="20">
        <f>(SUM(Y$3:Y128)/($B128-$B$3+1))</f>
        <v>7960.5029758805904</v>
      </c>
      <c r="AA128" s="21">
        <f>SUM(Y$3:Y128)/1000</f>
        <v>1003.0233749609545</v>
      </c>
      <c r="AB128" s="20">
        <f t="shared" si="40"/>
        <v>3524.2692213210462</v>
      </c>
      <c r="AC128" s="20">
        <f>(SUM(AB$3:AB128)/($B128-$B$3+1))</f>
        <v>3441.2766086361471</v>
      </c>
      <c r="AD128" s="18">
        <f t="shared" si="58"/>
        <v>8.1563943200906355</v>
      </c>
      <c r="AE128" s="18">
        <f t="shared" si="58"/>
        <v>7.4272855757285789</v>
      </c>
      <c r="AF128" s="20">
        <f t="shared" si="41"/>
        <v>7791.839947909607</v>
      </c>
      <c r="AG128" s="20">
        <f>(SUM(AF$3:AF128)/($B128-$B$3+1))</f>
        <v>6052.8604594938352</v>
      </c>
      <c r="AH128" s="22">
        <f>SUM(AF$3:AF128)/1000</f>
        <v>762.66041789622329</v>
      </c>
      <c r="AI128" s="20">
        <v>2679.718842261414</v>
      </c>
      <c r="AJ128" s="20">
        <f>(SUM(AI$3:AI128)/($B128-$B$3+1))</f>
        <v>2616.6144498288554</v>
      </c>
      <c r="AK128" s="21">
        <f>SUM(AI$3:AI128)/1000</f>
        <v>329.69342067843576</v>
      </c>
      <c r="AL128" s="23">
        <f t="shared" si="52"/>
        <v>1.8351515551049165</v>
      </c>
      <c r="AM128" s="23">
        <f t="shared" si="53"/>
        <v>2.082497409447392</v>
      </c>
      <c r="AN128" s="24">
        <f t="shared" si="42"/>
        <v>0.64675681421157116</v>
      </c>
      <c r="AO128" s="24">
        <f t="shared" si="43"/>
        <v>0.73392815235962572</v>
      </c>
      <c r="AP128" s="24">
        <f t="shared" si="56"/>
        <v>0.69034248328559844</v>
      </c>
      <c r="AQ128" s="24">
        <f>(SUM(AP$3:AP128)/($B128-$B$3+1))</f>
        <v>0.89063168701351314</v>
      </c>
      <c r="AR128" s="21">
        <f t="shared" si="59"/>
        <v>19.685660759333356</v>
      </c>
      <c r="AS128" s="21">
        <f t="shared" si="59"/>
        <v>20.342036984154646</v>
      </c>
      <c r="AT128" s="21">
        <f t="shared" si="57"/>
        <v>20.013848871744003</v>
      </c>
      <c r="AU128" s="21">
        <f>(SUM(AT$3:AT128)/($B128-$B$3+1))</f>
        <v>19.406358640047426</v>
      </c>
      <c r="AV128" s="22">
        <f>SUM(AT$3:AT128)/1000</f>
        <v>2.4452011886459752</v>
      </c>
    </row>
    <row r="129" spans="1:48" ht="15.6">
      <c r="A129" s="17" t="s">
        <v>63</v>
      </c>
      <c r="B129" s="17">
        <v>186</v>
      </c>
      <c r="C129" s="18">
        <f t="shared" si="33"/>
        <v>142.16808475102107</v>
      </c>
      <c r="D129" s="18">
        <f t="shared" si="34"/>
        <v>133.23130704321579</v>
      </c>
      <c r="E129" s="18">
        <f t="shared" si="44"/>
        <v>137.69969589711843</v>
      </c>
      <c r="F129" s="19">
        <f t="shared" si="54"/>
        <v>0.88465209534888345</v>
      </c>
      <c r="G129" s="19">
        <f t="shared" si="54"/>
        <v>0.84338774332405819</v>
      </c>
      <c r="H129" s="19">
        <f t="shared" si="45"/>
        <v>0.86401991933647082</v>
      </c>
      <c r="I129" s="19">
        <f>(SUM(H$3:H129)/($B129-$B$3+1))</f>
        <v>0.91910384433026782</v>
      </c>
      <c r="J129" s="19"/>
      <c r="K129" s="19">
        <f t="shared" si="46"/>
        <v>3.0449675701582151</v>
      </c>
      <c r="L129" s="19">
        <f t="shared" si="47"/>
        <v>2.7760814842917734</v>
      </c>
      <c r="M129" s="19">
        <f t="shared" si="48"/>
        <v>2.910524527224994</v>
      </c>
      <c r="N129" s="19">
        <f>(SUM(M$3:M129)/($B129-$B$3+1))</f>
        <v>2.3088691192090303</v>
      </c>
      <c r="O129" s="19">
        <f t="shared" si="60"/>
        <v>3.4419944135862361</v>
      </c>
      <c r="P129" s="19">
        <f t="shared" si="61"/>
        <v>3.291583860764157</v>
      </c>
      <c r="Q129" s="19">
        <f t="shared" si="49"/>
        <v>3.3667891371751963</v>
      </c>
      <c r="R129" s="19">
        <f>(SUM(Q$3:Q129)/($B129-$B$3+1))</f>
        <v>2.4863972739630507</v>
      </c>
      <c r="S129" s="19">
        <f t="shared" si="62"/>
        <v>12.285026993211938</v>
      </c>
      <c r="T129" s="19">
        <f t="shared" si="63"/>
        <v>11.442806899367563</v>
      </c>
      <c r="U129" s="19">
        <f t="shared" si="55"/>
        <v>11.86391694628975</v>
      </c>
      <c r="V129" s="19">
        <f>(SUM(U$3:U129)/($B129-$B$3+1))</f>
        <v>8.5834497193897583</v>
      </c>
      <c r="W129" s="18">
        <f t="shared" si="50"/>
        <v>10.867974870962534</v>
      </c>
      <c r="X129" s="18">
        <f t="shared" si="51"/>
        <v>9.6507230881505723</v>
      </c>
      <c r="Y129" s="20">
        <f t="shared" si="39"/>
        <v>10259.348979556553</v>
      </c>
      <c r="Z129" s="20">
        <f>(SUM(Y$3:Y129)/($B129-$B$3+1))</f>
        <v>7978.6041255158343</v>
      </c>
      <c r="AA129" s="21">
        <f>SUM(Y$3:Y129)/1000</f>
        <v>1013.282723940511</v>
      </c>
      <c r="AB129" s="20">
        <f t="shared" si="40"/>
        <v>3524.9141120752593</v>
      </c>
      <c r="AC129" s="20">
        <f>(SUM(AB$3:AB129)/($B129-$B$3+1))</f>
        <v>3441.9351716553529</v>
      </c>
      <c r="AD129" s="18">
        <f t="shared" si="58"/>
        <v>8.1611500721015471</v>
      </c>
      <c r="AE129" s="18">
        <f t="shared" si="58"/>
        <v>7.4404791130535362</v>
      </c>
      <c r="AF129" s="20">
        <f t="shared" si="41"/>
        <v>7800.8145925775416</v>
      </c>
      <c r="AG129" s="20">
        <f>(SUM(AF$3:AF129)/($B129-$B$3+1))</f>
        <v>6066.6238778645729</v>
      </c>
      <c r="AH129" s="22">
        <f>SUM(AF$3:AF129)/1000</f>
        <v>770.46123248880076</v>
      </c>
      <c r="AI129" s="20">
        <v>2680.2091924011847</v>
      </c>
      <c r="AJ129" s="20">
        <f>(SUM(AI$3:AI129)/($B129-$B$3+1))</f>
        <v>2617.1151958333621</v>
      </c>
      <c r="AK129" s="21">
        <f>SUM(AI$3:AI129)/1000</f>
        <v>332.37362987083696</v>
      </c>
      <c r="AL129" s="23">
        <f t="shared" si="52"/>
        <v>1.8362230616412094</v>
      </c>
      <c r="AM129" s="23">
        <f t="shared" si="53"/>
        <v>2.0860868668556063</v>
      </c>
      <c r="AN129" s="24">
        <f t="shared" si="42"/>
        <v>0.64725285828971368</v>
      </c>
      <c r="AO129" s="24">
        <f t="shared" si="43"/>
        <v>0.7353277035994189</v>
      </c>
      <c r="AP129" s="24">
        <f t="shared" si="56"/>
        <v>0.69129028094456624</v>
      </c>
      <c r="AQ129" s="24">
        <f>(SUM(AP$3:AP129)/($B129-$B$3+1))</f>
        <v>0.88906206964289158</v>
      </c>
      <c r="AR129" s="21">
        <f t="shared" si="59"/>
        <v>19.708639631843891</v>
      </c>
      <c r="AS129" s="21">
        <f t="shared" si="59"/>
        <v>20.413296228491362</v>
      </c>
      <c r="AT129" s="21">
        <f t="shared" si="57"/>
        <v>20.060967930167628</v>
      </c>
      <c r="AU129" s="21">
        <f>(SUM(AT$3:AT129)/($B129-$B$3+1))</f>
        <v>19.411513043906638</v>
      </c>
      <c r="AV129" s="22">
        <f>SUM(AT$3:AT129)/1000</f>
        <v>2.4652621565761428</v>
      </c>
    </row>
    <row r="130" spans="1:48" ht="15.6">
      <c r="A130" s="17" t="s">
        <v>63</v>
      </c>
      <c r="B130" s="17">
        <v>187</v>
      </c>
      <c r="C130" s="18">
        <f t="shared" si="33"/>
        <v>143.05273684636995</v>
      </c>
      <c r="D130" s="18">
        <f t="shared" si="34"/>
        <v>134.07469478653985</v>
      </c>
      <c r="E130" s="18">
        <f t="shared" si="44"/>
        <v>138.5637158164549</v>
      </c>
      <c r="F130" s="19">
        <f t="shared" si="54"/>
        <v>0.8804724221917013</v>
      </c>
      <c r="G130" s="19">
        <f t="shared" si="54"/>
        <v>0.84022249713109431</v>
      </c>
      <c r="H130" s="19">
        <f t="shared" si="45"/>
        <v>0.86034745966139781</v>
      </c>
      <c r="I130" s="19">
        <f>(SUM(H$3:H130)/($B130-$B$3+1))</f>
        <v>0.91864481007504228</v>
      </c>
      <c r="J130" s="19"/>
      <c r="K130" s="19">
        <f t="shared" si="46"/>
        <v>3.0461365462389369</v>
      </c>
      <c r="L130" s="19">
        <f t="shared" si="47"/>
        <v>2.7804247569800546</v>
      </c>
      <c r="M130" s="19">
        <f t="shared" si="48"/>
        <v>2.9132806516094956</v>
      </c>
      <c r="N130" s="19">
        <f>(SUM(M$3:M130)/($B130-$B$3+1))</f>
        <v>2.3135910843059091</v>
      </c>
      <c r="O130" s="19">
        <f t="shared" si="60"/>
        <v>3.459661506099637</v>
      </c>
      <c r="P130" s="19">
        <f t="shared" si="61"/>
        <v>3.309152952311682</v>
      </c>
      <c r="Q130" s="19">
        <f t="shared" si="49"/>
        <v>3.3844072292056593</v>
      </c>
      <c r="R130" s="19">
        <f>(SUM(Q$3:Q130)/($B130-$B$3+1))</f>
        <v>2.4934129767383832</v>
      </c>
      <c r="S130" s="19">
        <f t="shared" si="62"/>
        <v>12.350373129275926</v>
      </c>
      <c r="T130" s="19">
        <f t="shared" si="63"/>
        <v>11.50605611050227</v>
      </c>
      <c r="U130" s="19">
        <f t="shared" si="55"/>
        <v>11.928214619889097</v>
      </c>
      <c r="V130" s="19">
        <f>(SUM(U$3:U130)/($B130-$B$3+1))</f>
        <v>8.609580695174909</v>
      </c>
      <c r="W130" s="18">
        <f t="shared" si="50"/>
        <v>10.874162944104876</v>
      </c>
      <c r="X130" s="18">
        <f t="shared" si="51"/>
        <v>9.667647197296704</v>
      </c>
      <c r="Y130" s="20">
        <f t="shared" si="39"/>
        <v>10270.90507070079</v>
      </c>
      <c r="Z130" s="20">
        <f>(SUM(Y$3:Y130)/($B130-$B$3+1))</f>
        <v>7996.5127266500922</v>
      </c>
      <c r="AA130" s="21">
        <f>SUM(Y$3:Y130)/1000</f>
        <v>1023.5536290112118</v>
      </c>
      <c r="AB130" s="20">
        <f t="shared" si="40"/>
        <v>3525.5460420630739</v>
      </c>
      <c r="AC130" s="20">
        <f>(SUM(AB$3:AB130)/($B130-$B$3+1))</f>
        <v>3442.5883815804132</v>
      </c>
      <c r="AD130" s="18">
        <f t="shared" si="58"/>
        <v>8.1657468267447424</v>
      </c>
      <c r="AE130" s="18">
        <f t="shared" si="58"/>
        <v>7.4534559733854744</v>
      </c>
      <c r="AF130" s="20">
        <f t="shared" si="41"/>
        <v>7809.6014000651085</v>
      </c>
      <c r="AG130" s="20">
        <f>(SUM(AF$3:AF130)/($B130-$B$3+1))</f>
        <v>6080.2408897567648</v>
      </c>
      <c r="AH130" s="22">
        <f>SUM(AF$3:AF130)/1000</f>
        <v>778.27083388886592</v>
      </c>
      <c r="AI130" s="20">
        <v>2680.6896876724009</v>
      </c>
      <c r="AJ130" s="20">
        <f>(SUM(AI$3:AI130)/($B130-$B$3+1))</f>
        <v>2617.6118715508546</v>
      </c>
      <c r="AK130" s="21">
        <f>SUM(AI$3:AI130)/1000</f>
        <v>335.05431955850941</v>
      </c>
      <c r="AL130" s="23">
        <f t="shared" si="52"/>
        <v>1.8375183162080959</v>
      </c>
      <c r="AM130" s="23">
        <f t="shared" si="53"/>
        <v>2.0899400889734507</v>
      </c>
      <c r="AN130" s="24">
        <f t="shared" si="42"/>
        <v>0.64782554269258563</v>
      </c>
      <c r="AO130" s="24">
        <f t="shared" si="43"/>
        <v>0.73681800088292981</v>
      </c>
      <c r="AP130" s="24">
        <f t="shared" si="56"/>
        <v>0.69232177178775767</v>
      </c>
      <c r="AQ130" s="24">
        <f>(SUM(AP$3:AP130)/($B130-$B$3+1))</f>
        <v>0.88752503606589839</v>
      </c>
      <c r="AR130" s="21">
        <f t="shared" si="59"/>
        <v>19.733650611829578</v>
      </c>
      <c r="AS130" s="21">
        <f t="shared" si="59"/>
        <v>20.486670110434499</v>
      </c>
      <c r="AT130" s="21">
        <f t="shared" si="57"/>
        <v>20.110160361132039</v>
      </c>
      <c r="AU130" s="21">
        <f>(SUM(AT$3:AT130)/($B130-$B$3+1))</f>
        <v>19.416971226072459</v>
      </c>
      <c r="AV130" s="22">
        <f>SUM(AT$3:AT130)/1000</f>
        <v>2.4853723169372746</v>
      </c>
    </row>
    <row r="131" spans="1:48" ht="15.6">
      <c r="A131" s="17" t="s">
        <v>63</v>
      </c>
      <c r="B131" s="17">
        <v>188</v>
      </c>
      <c r="C131" s="18">
        <f t="shared" ref="C131:C143" si="64">(1.599 + ((301.48 - 1.599)*(($B131/195.9)^2.2191)))/(1 + (($B131 / 195.9)^2.2191))</f>
        <v>143.93320926856165</v>
      </c>
      <c r="D131" s="18">
        <f t="shared" ref="D131:D143" si="65">(1.554 + ((312.3 - 1.554)*(($B131/214.74)^2.0789)))/( 1 + ($B131 / 214.74)^2.0789)</f>
        <v>134.91491728367095</v>
      </c>
      <c r="E131" s="18">
        <f t="shared" si="44"/>
        <v>139.4240632761163</v>
      </c>
      <c r="F131" s="19">
        <f t="shared" si="54"/>
        <v>0.87627350612817168</v>
      </c>
      <c r="G131" s="19">
        <f t="shared" si="54"/>
        <v>0.83703556461102835</v>
      </c>
      <c r="H131" s="19">
        <f t="shared" si="45"/>
        <v>0.85665453536960001</v>
      </c>
      <c r="I131" s="19">
        <f>(SUM(H$3:H131)/($B131-$B$3+1))</f>
        <v>0.91816426530988382</v>
      </c>
      <c r="J131" s="19"/>
      <c r="K131" s="19">
        <f t="shared" si="46"/>
        <v>3.0472589375442336</v>
      </c>
      <c r="L131" s="19">
        <f t="shared" si="47"/>
        <v>2.7846970775344255</v>
      </c>
      <c r="M131" s="19">
        <f t="shared" si="48"/>
        <v>2.9159780075393296</v>
      </c>
      <c r="N131" s="19">
        <f>(SUM(M$3:M131)/($B131-$B$3+1))</f>
        <v>2.3182607503774859</v>
      </c>
      <c r="O131" s="19">
        <f t="shared" ref="O131:O142" si="66">K131/F131</f>
        <v>3.4775203360975677</v>
      </c>
      <c r="P131" s="19">
        <f t="shared" ref="P131:P142" si="67">L131/G131</f>
        <v>3.3268563431094811</v>
      </c>
      <c r="Q131" s="19">
        <f t="shared" si="49"/>
        <v>3.4021883396035246</v>
      </c>
      <c r="R131" s="19">
        <f>(SUM(Q$3:Q131)/($B131-$B$3+1))</f>
        <v>2.5004577469931517</v>
      </c>
      <c r="S131" s="19">
        <f t="shared" ref="S131:S142" si="68">W131/F131</f>
        <v>12.41636777675301</v>
      </c>
      <c r="T131" s="19">
        <f t="shared" ref="T131:T142" si="69">X131/G131</f>
        <v>11.569767249361792</v>
      </c>
      <c r="U131" s="19">
        <f t="shared" si="55"/>
        <v>11.993067513057401</v>
      </c>
      <c r="V131" s="19">
        <f>(SUM(U$3:U131)/($B131-$B$3+1))</f>
        <v>8.6358092751584952</v>
      </c>
      <c r="W131" s="18">
        <f t="shared" si="50"/>
        <v>10.880134125112212</v>
      </c>
      <c r="X131" s="18">
        <f t="shared" si="51"/>
        <v>9.6843066619877316</v>
      </c>
      <c r="Y131" s="20">
        <f t="shared" ref="Y131:Y143" si="70">((W131 + X131) / 2)*1000</f>
        <v>10282.220393549971</v>
      </c>
      <c r="Z131" s="20">
        <f>(SUM(Y$3:Y131)/($B131-$B$3+1))</f>
        <v>8014.2313907345879</v>
      </c>
      <c r="AA131" s="21">
        <f>SUM(Y$3:Y131)/1000</f>
        <v>1033.8358494047618</v>
      </c>
      <c r="AB131" s="20">
        <f t="shared" ref="AB131:AB143" si="71">Y131/(AVERAGE(K131,L131))</f>
        <v>3526.1652752404334</v>
      </c>
      <c r="AC131" s="20">
        <f>(SUM(AB$3:AB131)/($B131-$B$3+1))</f>
        <v>3443.2362644770024</v>
      </c>
      <c r="AD131" s="18">
        <f t="shared" si="58"/>
        <v>8.1701903843065828</v>
      </c>
      <c r="AE131" s="18">
        <f t="shared" si="58"/>
        <v>7.4662198888860081</v>
      </c>
      <c r="AF131" s="20">
        <f t="shared" ref="AF131:AF143" si="72">((AD131 + AE131) / 2)*1000</f>
        <v>7818.2051365962961</v>
      </c>
      <c r="AG131" s="20">
        <f>(SUM(AF$3:AF131)/($B131-$B$3+1))</f>
        <v>6093.7134808175369</v>
      </c>
      <c r="AH131" s="22">
        <f>SUM(AF$3:AF131)/1000</f>
        <v>786.08903902546228</v>
      </c>
      <c r="AI131" s="20">
        <v>2681.1605287770149</v>
      </c>
      <c r="AJ131" s="20">
        <f>(SUM(AI$3:AI131)/($B131-$B$3+1))</f>
        <v>2618.1044968006695</v>
      </c>
      <c r="AK131" s="21">
        <f>SUM(AI$3:AI131)/1000</f>
        <v>337.73548008728636</v>
      </c>
      <c r="AL131" s="23">
        <f t="shared" si="52"/>
        <v>1.8390340619635781</v>
      </c>
      <c r="AM131" s="23">
        <f t="shared" si="53"/>
        <v>2.0940538698000539</v>
      </c>
      <c r="AN131" s="24">
        <f t="shared" ref="AN131:AN143" si="73">(AL131*((AB131)/1000)/10)</f>
        <v>0.6484738049280333</v>
      </c>
      <c r="AO131" s="24">
        <f t="shared" ref="AO131:AO143" si="74">(AM131*((AB131)/1000)/10)</f>
        <v>0.73839800401718025</v>
      </c>
      <c r="AP131" s="24">
        <f t="shared" si="56"/>
        <v>0.69343590447260683</v>
      </c>
      <c r="AQ131" s="24">
        <f>(SUM(AP$3:AP131)/($B131-$B$3+1))</f>
        <v>0.88602046915432253</v>
      </c>
      <c r="AR131" s="21">
        <f t="shared" si="59"/>
        <v>19.760675978302654</v>
      </c>
      <c r="AS131" s="21">
        <f t="shared" si="59"/>
        <v>20.562147638438951</v>
      </c>
      <c r="AT131" s="21">
        <f t="shared" si="57"/>
        <v>20.161411808370801</v>
      </c>
      <c r="AU131" s="21">
        <f>(SUM(AT$3:AT131)/($B131-$B$3+1))</f>
        <v>19.422742083299578</v>
      </c>
      <c r="AV131" s="22">
        <f>SUM(AT$3:AT131)/1000</f>
        <v>2.5055337287456454</v>
      </c>
    </row>
    <row r="132" spans="1:48" ht="15.6">
      <c r="A132" s="17" t="s">
        <v>63</v>
      </c>
      <c r="B132" s="17">
        <v>189</v>
      </c>
      <c r="C132" s="18">
        <f t="shared" si="64"/>
        <v>144.80948277468983</v>
      </c>
      <c r="D132" s="18">
        <f t="shared" si="65"/>
        <v>135.75195284828197</v>
      </c>
      <c r="E132" s="18">
        <f t="shared" ref="E132:E143" si="75">AVERAGE(C132:D132)</f>
        <v>140.28071781148589</v>
      </c>
      <c r="F132" s="19">
        <f t="shared" si="54"/>
        <v>0.87205651055529643</v>
      </c>
      <c r="G132" s="19">
        <f t="shared" si="54"/>
        <v>0.8338278260105767</v>
      </c>
      <c r="H132" s="19">
        <f t="shared" ref="H132:H142" si="76">AVERAGE(F132:G132)</f>
        <v>0.85294216828293656</v>
      </c>
      <c r="I132" s="19">
        <f>(SUM(H$3:H132)/($B132-$B$3+1))</f>
        <v>0.91766255687121501</v>
      </c>
      <c r="J132" s="19"/>
      <c r="K132" s="19">
        <f t="shared" ref="K132:K143" si="77" xml:space="preserve"> 3.0763 * (1-EXP(-(EXP(-5.0736)*(C132^1.3308))))</f>
        <v>3.0483366402209042</v>
      </c>
      <c r="L132" s="19">
        <f t="shared" ref="L132:L143" si="78" xml:space="preserve"> 3.1408 * (1-EXP(-(EXP(-3.5347)*(D132^0.8793))))</f>
        <v>2.7888996955419207</v>
      </c>
      <c r="M132" s="19">
        <f t="shared" ref="M132:M143" si="79">AVERAGE(K132:L132)</f>
        <v>2.9186181678814123</v>
      </c>
      <c r="N132" s="19">
        <f>(SUM(M$3:M132)/($B132-$B$3+1))</f>
        <v>2.322878884358285</v>
      </c>
      <c r="O132" s="19">
        <f t="shared" si="66"/>
        <v>3.4955723663823406</v>
      </c>
      <c r="P132" s="19">
        <f t="shared" si="67"/>
        <v>3.3446949220744102</v>
      </c>
      <c r="Q132" s="19">
        <f t="shared" ref="Q132:Q142" si="80">AVERAGE(O132:P132)</f>
        <v>3.4201336442283754</v>
      </c>
      <c r="R132" s="19">
        <f>(SUM(Q$3:Q132)/($B132-$B$3+1))</f>
        <v>2.5075321769718841</v>
      </c>
      <c r="S132" s="19">
        <f t="shared" si="68"/>
        <v>12.483016940695453</v>
      </c>
      <c r="T132" s="19">
        <f t="shared" si="69"/>
        <v>11.633943593715076</v>
      </c>
      <c r="U132" s="19">
        <f t="shared" si="55"/>
        <v>12.058480267205265</v>
      </c>
      <c r="V132" s="19">
        <f>(SUM(U$3:U132)/($B132-$B$3+1))</f>
        <v>8.6621375135588554</v>
      </c>
      <c r="W132" s="18">
        <f t="shared" ref="W132:W143" si="81">(11.06 - 0.00049)*(1-EXP(-EXP(-5.044)*C132^(1.3 -0.0321* -0.00049)))</f>
        <v>10.885896194505529</v>
      </c>
      <c r="X132" s="18">
        <f t="shared" ref="X132:X143" si="82">(11.12+0.02849)*(1-EXP(-EXP(-3.674-0.1996*0.02849)*D132^(0.8938+0.0283*0.02849)))</f>
        <v>9.7007058946771174</v>
      </c>
      <c r="Y132" s="20">
        <f t="shared" si="70"/>
        <v>10293.301044591324</v>
      </c>
      <c r="Z132" s="20">
        <f>(SUM(Y$3:Y132)/($B132-$B$3+1))</f>
        <v>8031.7626957642551</v>
      </c>
      <c r="AA132" s="21">
        <f>SUM(Y$3:Y132)/1000</f>
        <v>1044.1291504493531</v>
      </c>
      <c r="AB132" s="20">
        <f t="shared" si="71"/>
        <v>3526.772072436971</v>
      </c>
      <c r="AC132" s="20">
        <f>(SUM(AB$3:AB132)/($B132-$B$3+1))</f>
        <v>3443.8788476151562</v>
      </c>
      <c r="AD132" s="18">
        <f t="shared" si="58"/>
        <v>8.1744863357869963</v>
      </c>
      <c r="AE132" s="18">
        <f t="shared" si="58"/>
        <v>7.4787745396242897</v>
      </c>
      <c r="AF132" s="20">
        <f t="shared" si="72"/>
        <v>7826.6304377056431</v>
      </c>
      <c r="AG132" s="20">
        <f>(SUM(AF$3:AF132)/($B132-$B$3+1))</f>
        <v>6107.0436112551379</v>
      </c>
      <c r="AH132" s="22">
        <f>SUM(AF$3:AF132)/1000</f>
        <v>793.91566946316789</v>
      </c>
      <c r="AI132" s="20">
        <v>2681.6219140398534</v>
      </c>
      <c r="AJ132" s="20">
        <f>(SUM(AI$3:AI132)/($B132-$B$3+1))</f>
        <v>2618.5930923178939</v>
      </c>
      <c r="AK132" s="21">
        <f>SUM(AI$3:AI132)/1000</f>
        <v>340.41710200132621</v>
      </c>
      <c r="AL132" s="23">
        <f t="shared" ref="AL132:AL143" si="83">((0.00003*(C132*2.204622)^2)-(0.0182*C132*2.204622)+4.5935)</f>
        <v>1.8407670388155686</v>
      </c>
      <c r="AM132" s="23">
        <f t="shared" ref="AM132:AM143" si="84">((0.00004*(D132*2.204622)^2)-(0.0215*D132*2.204622)+4.9502)</f>
        <v>2.0984249902748311</v>
      </c>
      <c r="AN132" s="24">
        <f t="shared" si="73"/>
        <v>0.64919657843572487</v>
      </c>
      <c r="AO132" s="24">
        <f t="shared" si="74"/>
        <v>0.74006666518050968</v>
      </c>
      <c r="AP132" s="24">
        <f t="shared" si="56"/>
        <v>0.69463162180811722</v>
      </c>
      <c r="AQ132" s="24">
        <f>(SUM(AP$3:AP132)/($B132-$B$3+1))</f>
        <v>0.88454824725165937</v>
      </c>
      <c r="AR132" s="21">
        <f t="shared" si="59"/>
        <v>19.789697167516643</v>
      </c>
      <c r="AS132" s="21">
        <f t="shared" si="59"/>
        <v>20.639716972026481</v>
      </c>
      <c r="AT132" s="21">
        <f t="shared" si="57"/>
        <v>20.214707069771563</v>
      </c>
      <c r="AU132" s="21">
        <f>(SUM(AT$3:AT132)/($B132-$B$3+1))</f>
        <v>19.428834121657054</v>
      </c>
      <c r="AV132" s="22">
        <f>SUM(AT$3:AT132)/1000</f>
        <v>2.5257484358154172</v>
      </c>
    </row>
    <row r="133" spans="1:48" ht="15.6">
      <c r="A133" s="17" t="s">
        <v>63</v>
      </c>
      <c r="B133" s="17">
        <v>190</v>
      </c>
      <c r="C133" s="18">
        <f t="shared" si="64"/>
        <v>145.68153928524512</v>
      </c>
      <c r="D133" s="18">
        <f t="shared" si="65"/>
        <v>136.58578067429255</v>
      </c>
      <c r="E133" s="18">
        <f t="shared" si="75"/>
        <v>141.13365997976882</v>
      </c>
      <c r="F133" s="19">
        <f t="shared" ref="F133:G142" si="85">C134-C133</f>
        <v>0.86782257581708677</v>
      </c>
      <c r="G133" s="19">
        <f t="shared" si="85"/>
        <v>0.83060014712972929</v>
      </c>
      <c r="H133" s="19">
        <f t="shared" si="76"/>
        <v>0.84921136147340803</v>
      </c>
      <c r="I133" s="19">
        <f>(SUM(H$3:H133)/($B133-$B$3+1))</f>
        <v>0.91714002866207145</v>
      </c>
      <c r="J133" s="19"/>
      <c r="K133" s="19">
        <f t="shared" si="77"/>
        <v>3.0493714751062808</v>
      </c>
      <c r="L133" s="19">
        <f t="shared" si="78"/>
        <v>2.7930338401040773</v>
      </c>
      <c r="M133" s="19">
        <f t="shared" si="79"/>
        <v>2.9212026576051793</v>
      </c>
      <c r="N133" s="19">
        <f>(SUM(M$3:M133)/($B133-$B$3+1))</f>
        <v>2.3274462414059713</v>
      </c>
      <c r="O133" s="19">
        <f t="shared" si="66"/>
        <v>3.5138190225521453</v>
      </c>
      <c r="P133" s="19">
        <f t="shared" si="67"/>
        <v>3.3626695706181238</v>
      </c>
      <c r="Q133" s="19">
        <f t="shared" si="80"/>
        <v>3.4382442965851343</v>
      </c>
      <c r="R133" s="19">
        <f>(SUM(Q$3:Q133)/($B133-$B$3+1))</f>
        <v>2.5146368496406879</v>
      </c>
      <c r="S133" s="19">
        <f t="shared" si="68"/>
        <v>12.550326491909328</v>
      </c>
      <c r="T133" s="19">
        <f t="shared" si="69"/>
        <v>11.69858839477051</v>
      </c>
      <c r="U133" s="19">
        <f t="shared" ref="U133:U142" si="86">((S133 + T133) / 2)</f>
        <v>12.124457443339919</v>
      </c>
      <c r="V133" s="19">
        <f>(SUM(U$3:U133)/($B133-$B$3+1))</f>
        <v>8.6885674366869541</v>
      </c>
      <c r="W133" s="18">
        <f t="shared" si="81"/>
        <v>10.891456663554175</v>
      </c>
      <c r="X133" s="18">
        <f t="shared" si="82"/>
        <v>9.7168492419065302</v>
      </c>
      <c r="Y133" s="20">
        <f t="shared" si="70"/>
        <v>10304.152952730352</v>
      </c>
      <c r="Z133" s="20">
        <f>(SUM(Y$3:Y133)/($B133-$B$3+1))</f>
        <v>8049.1091862754465</v>
      </c>
      <c r="AA133" s="21">
        <f>SUM(Y$3:Y133)/1000</f>
        <v>1054.4333034020835</v>
      </c>
      <c r="AB133" s="20">
        <f t="shared" si="71"/>
        <v>3527.3666912167478</v>
      </c>
      <c r="AC133" s="20">
        <f>(SUM(AB$3:AB133)/($B133-$B$3+1))</f>
        <v>3444.5161593983744</v>
      </c>
      <c r="AD133" s="18">
        <f t="shared" si="58"/>
        <v>8.1786400695728201</v>
      </c>
      <c r="AE133" s="18">
        <f t="shared" si="58"/>
        <v>7.4911235534371521</v>
      </c>
      <c r="AF133" s="20">
        <f t="shared" si="72"/>
        <v>7834.8818115049862</v>
      </c>
      <c r="AG133" s="20">
        <f>(SUM(AF$3:AF133)/($B133-$B$3+1))</f>
        <v>6120.2332158371973</v>
      </c>
      <c r="AH133" s="22">
        <f>SUM(AF$3:AF133)/1000</f>
        <v>801.75055127467283</v>
      </c>
      <c r="AI133" s="20">
        <v>2682.0740393027277</v>
      </c>
      <c r="AJ133" s="20">
        <f>(SUM(AI$3:AI133)/($B133-$B$3+1))</f>
        <v>2619.0776796994573</v>
      </c>
      <c r="AK133" s="21">
        <f>SUM(AI$3:AI133)/1000</f>
        <v>343.09917604062895</v>
      </c>
      <c r="AL133" s="23">
        <f t="shared" si="83"/>
        <v>1.8427139851255778</v>
      </c>
      <c r="AM133" s="23">
        <f t="shared" si="84"/>
        <v>2.1030502199240826</v>
      </c>
      <c r="AN133" s="24">
        <f t="shared" si="73"/>
        <v>0.64999279325712367</v>
      </c>
      <c r="AO133" s="24">
        <f t="shared" si="74"/>
        <v>0.74182292957162654</v>
      </c>
      <c r="AP133" s="24">
        <f t="shared" ref="AP133:AP143" si="87">AVERAGE(AN133:AO133)</f>
        <v>0.69590786141437511</v>
      </c>
      <c r="AQ133" s="24">
        <f>(SUM(AP$3:AP133)/($B133-$B$3+1))</f>
        <v>0.8831082443063365</v>
      </c>
      <c r="AR133" s="21">
        <f t="shared" si="59"/>
        <v>19.820694827829271</v>
      </c>
      <c r="AS133" s="21">
        <f t="shared" si="59"/>
        <v>20.719365456586967</v>
      </c>
      <c r="AT133" s="21">
        <f t="shared" ref="AT133:AT143" si="88">AVERAGE(AR133:AS133)</f>
        <v>20.270030142208121</v>
      </c>
      <c r="AU133" s="21">
        <f>(SUM(AT$3:AT133)/($B133-$B$3+1))</f>
        <v>19.435255465325383</v>
      </c>
      <c r="AV133" s="22">
        <f>SUM(AT$3:AT133)/1000</f>
        <v>2.5460184659576255</v>
      </c>
    </row>
    <row r="134" spans="1:48" ht="15.6">
      <c r="A134" s="17" t="s">
        <v>63</v>
      </c>
      <c r="B134" s="17">
        <v>191</v>
      </c>
      <c r="C134" s="18">
        <f t="shared" si="64"/>
        <v>146.54936186106221</v>
      </c>
      <c r="D134" s="18">
        <f t="shared" si="65"/>
        <v>137.41638082142228</v>
      </c>
      <c r="E134" s="18">
        <f t="shared" si="75"/>
        <v>141.98287134124223</v>
      </c>
      <c r="F134" s="19">
        <f t="shared" si="85"/>
        <v>0.86357281935116248</v>
      </c>
      <c r="G134" s="19">
        <f t="shared" si="85"/>
        <v>0.82735337937845088</v>
      </c>
      <c r="H134" s="19">
        <f t="shared" si="76"/>
        <v>0.84546309936480668</v>
      </c>
      <c r="I134" s="19">
        <f>(SUM(H$3:H134)/($B134-$B$3+1))</f>
        <v>0.91659702162194068</v>
      </c>
      <c r="J134" s="19"/>
      <c r="K134" s="19">
        <f t="shared" si="77"/>
        <v>3.050365190439841</v>
      </c>
      <c r="L134" s="19">
        <f t="shared" si="78"/>
        <v>2.7971007200353051</v>
      </c>
      <c r="M134" s="19">
        <f t="shared" si="79"/>
        <v>2.9237329552375728</v>
      </c>
      <c r="N134" s="19">
        <f>(SUM(M$3:M134)/($B134-$B$3+1))</f>
        <v>2.331963564995605</v>
      </c>
      <c r="O134" s="19">
        <f t="shared" si="66"/>
        <v>3.5322616947713859</v>
      </c>
      <c r="P134" s="19">
        <f t="shared" si="67"/>
        <v>3.3807811628649254</v>
      </c>
      <c r="Q134" s="19">
        <f t="shared" si="80"/>
        <v>3.4565214288181556</v>
      </c>
      <c r="R134" s="19">
        <f>(SUM(Q$3:Q134)/($B134-$B$3+1))</f>
        <v>2.5217723388768807</v>
      </c>
      <c r="S134" s="19">
        <f t="shared" si="68"/>
        <v>12.618302172295243</v>
      </c>
      <c r="T134" s="19">
        <f t="shared" si="69"/>
        <v>11.763704877874577</v>
      </c>
      <c r="U134" s="19">
        <f t="shared" si="86"/>
        <v>12.191003525084909</v>
      </c>
      <c r="V134" s="19">
        <f>(SUM(U$3:U134)/($B134-$B$3+1))</f>
        <v>8.715101043417242</v>
      </c>
      <c r="W134" s="18">
        <f t="shared" si="81"/>
        <v>10.896822782353901</v>
      </c>
      <c r="X134" s="18">
        <f t="shared" si="82"/>
        <v>9.7327409847202979</v>
      </c>
      <c r="Y134" s="20">
        <f t="shared" si="70"/>
        <v>10314.7818835371</v>
      </c>
      <c r="Z134" s="20">
        <f>(SUM(Y$3:Y134)/($B134-$B$3+1))</f>
        <v>8066.2733733759133</v>
      </c>
      <c r="AA134" s="21">
        <f>SUM(Y$3:Y134)/1000</f>
        <v>1064.7480852856206</v>
      </c>
      <c r="AB134" s="20">
        <f t="shared" si="71"/>
        <v>3527.9493857533084</v>
      </c>
      <c r="AC134" s="20">
        <f>(SUM(AB$3:AB134)/($B134-$B$3+1))</f>
        <v>3445.1482292950027</v>
      </c>
      <c r="AD134" s="18">
        <f t="shared" si="58"/>
        <v>8.1826567779786021</v>
      </c>
      <c r="AE134" s="18">
        <f t="shared" si="58"/>
        <v>7.5032705058457179</v>
      </c>
      <c r="AF134" s="20">
        <f t="shared" si="72"/>
        <v>7842.9636419121598</v>
      </c>
      <c r="AG134" s="20">
        <f>(SUM(AF$3:AF134)/($B134-$B$3+1))</f>
        <v>6133.284203913523</v>
      </c>
      <c r="AH134" s="22">
        <f>SUM(AF$3:AF134)/1000</f>
        <v>809.59351491658504</v>
      </c>
      <c r="AI134" s="20">
        <v>2682.5170978294309</v>
      </c>
      <c r="AJ134" s="20">
        <f>(SUM(AI$3:AI134)/($B134-$B$3+1))</f>
        <v>2619.5582813519572</v>
      </c>
      <c r="AK134" s="21">
        <f>SUM(AI$3:AI134)/1000</f>
        <v>345.78169313845837</v>
      </c>
      <c r="AL134" s="23">
        <f t="shared" si="83"/>
        <v>1.8448716393567994</v>
      </c>
      <c r="AM134" s="23">
        <f t="shared" si="84"/>
        <v>2.1079263184649148</v>
      </c>
      <c r="AN134" s="24">
        <f t="shared" si="73"/>
        <v>0.65086137668625199</v>
      </c>
      <c r="AO134" s="24">
        <f t="shared" si="74"/>
        <v>0.74366573604415298</v>
      </c>
      <c r="AP134" s="24">
        <f t="shared" si="87"/>
        <v>0.69726355636520254</v>
      </c>
      <c r="AQ134" s="24">
        <f>(SUM(AP$3:AP134)/($B134-$B$3+1))</f>
        <v>0.88170033000375214</v>
      </c>
      <c r="AR134" s="21">
        <f t="shared" si="59"/>
        <v>19.853648872454961</v>
      </c>
      <c r="AS134" s="21">
        <f t="shared" si="59"/>
        <v>20.801079657546854</v>
      </c>
      <c r="AT134" s="21">
        <f t="shared" si="88"/>
        <v>20.327364265000909</v>
      </c>
      <c r="AU134" s="21">
        <f>(SUM(AT$3:AT134)/($B134-$B$3+1))</f>
        <v>19.442013865322927</v>
      </c>
      <c r="AV134" s="22">
        <f>SUM(AT$3:AT134)/1000</f>
        <v>2.5663458302226263</v>
      </c>
    </row>
    <row r="135" spans="1:48" ht="15.6">
      <c r="A135" s="17" t="s">
        <v>63</v>
      </c>
      <c r="B135" s="17">
        <v>192</v>
      </c>
      <c r="C135" s="18">
        <f t="shared" si="64"/>
        <v>147.41293468041337</v>
      </c>
      <c r="D135" s="18">
        <f t="shared" si="65"/>
        <v>138.24373420080073</v>
      </c>
      <c r="E135" s="18">
        <f t="shared" si="75"/>
        <v>142.82833444060705</v>
      </c>
      <c r="F135" s="19">
        <f t="shared" si="85"/>
        <v>0.85930833584569655</v>
      </c>
      <c r="G135" s="19">
        <f t="shared" si="85"/>
        <v>0.82408835983949302</v>
      </c>
      <c r="H135" s="19">
        <f t="shared" si="76"/>
        <v>0.84169834784259479</v>
      </c>
      <c r="I135" s="19">
        <f>(SUM(H$3:H135)/($B135-$B$3+1))</f>
        <v>0.91603387369878764</v>
      </c>
      <c r="J135" s="19"/>
      <c r="K135" s="19">
        <f t="shared" si="77"/>
        <v>3.0513194645025528</v>
      </c>
      <c r="L135" s="19">
        <f t="shared" si="78"/>
        <v>2.8011015240673189</v>
      </c>
      <c r="M135" s="19">
        <f t="shared" si="79"/>
        <v>2.9262104942849358</v>
      </c>
      <c r="N135" s="19">
        <f>(SUM(M$3:M135)/($B135-$B$3+1))</f>
        <v>2.3364315870203369</v>
      </c>
      <c r="O135" s="19">
        <f t="shared" si="66"/>
        <v>3.5509017394781437</v>
      </c>
      <c r="P135" s="19">
        <f t="shared" si="67"/>
        <v>3.3990305658641837</v>
      </c>
      <c r="Q135" s="19">
        <f t="shared" si="80"/>
        <v>3.4749661526711639</v>
      </c>
      <c r="R135" s="19">
        <f>(SUM(Q$3:Q135)/($B135-$B$3+1))</f>
        <v>2.5289392096572891</v>
      </c>
      <c r="S135" s="19">
        <f t="shared" si="68"/>
        <v>12.686949600036293</v>
      </c>
      <c r="T135" s="19">
        <f t="shared" si="69"/>
        <v>11.829296243194824</v>
      </c>
      <c r="U135" s="19">
        <f t="shared" si="86"/>
        <v>12.258122921615559</v>
      </c>
      <c r="V135" s="19">
        <f>(SUM(U$3:U135)/($B135-$B$3+1))</f>
        <v>8.7417403056593344</v>
      </c>
      <c r="W135" s="18">
        <f t="shared" si="81"/>
        <v>10.902001547765412</v>
      </c>
      <c r="X135" s="18">
        <f t="shared" si="82"/>
        <v>9.7483853391098982</v>
      </c>
      <c r="Y135" s="20">
        <f t="shared" si="70"/>
        <v>10325.193443437654</v>
      </c>
      <c r="Z135" s="20">
        <f>(SUM(Y$3:Y135)/($B135-$B$3+1))</f>
        <v>8083.2577348049481</v>
      </c>
      <c r="AA135" s="21">
        <f>SUM(Y$3:Y135)/1000</f>
        <v>1075.0732787290581</v>
      </c>
      <c r="AB135" s="20">
        <f t="shared" si="71"/>
        <v>3528.5204067183049</v>
      </c>
      <c r="AC135" s="20">
        <f>(SUM(AB$3:AB135)/($B135-$B$3+1))</f>
        <v>3445.7750877718699</v>
      </c>
      <c r="AD135" s="18">
        <f t="shared" si="58"/>
        <v>8.1865414636505367</v>
      </c>
      <c r="AE135" s="18">
        <f t="shared" si="58"/>
        <v>7.5152189200255517</v>
      </c>
      <c r="AF135" s="20">
        <f t="shared" si="72"/>
        <v>7850.8801918380441</v>
      </c>
      <c r="AG135" s="20">
        <f>(SUM(AF$3:AF135)/($B135-$B$3+1))</f>
        <v>6146.198459461828</v>
      </c>
      <c r="AH135" s="22">
        <f>SUM(AF$3:AF135)/1000</f>
        <v>817.44439510842312</v>
      </c>
      <c r="AI135" s="20">
        <v>2682.9512802210515</v>
      </c>
      <c r="AJ135" s="20">
        <f>(SUM(AI$3:AI135)/($B135-$B$3+1))</f>
        <v>2620.0349204411987</v>
      </c>
      <c r="AK135" s="21">
        <f>SUM(AI$3:AI135)/1000</f>
        <v>348.46464441867943</v>
      </c>
      <c r="AL135" s="23">
        <f t="shared" si="83"/>
        <v>1.8472367416671869</v>
      </c>
      <c r="AM135" s="23">
        <f t="shared" si="84"/>
        <v>2.1130500373667931</v>
      </c>
      <c r="AN135" s="24">
        <f t="shared" si="73"/>
        <v>0.65180125390124988</v>
      </c>
      <c r="AO135" s="24">
        <f t="shared" si="74"/>
        <v>0.74559401772656053</v>
      </c>
      <c r="AP135" s="24">
        <f t="shared" si="87"/>
        <v>0.6986976358139052</v>
      </c>
      <c r="AQ135" s="24">
        <f>(SUM(AP$3:AP135)/($B135-$B$3+1))</f>
        <v>0.88032436989706153</v>
      </c>
      <c r="AR135" s="21">
        <f t="shared" si="59"/>
        <v>19.888538530160542</v>
      </c>
      <c r="AS135" s="21">
        <f t="shared" si="59"/>
        <v>20.884845393893443</v>
      </c>
      <c r="AT135" s="21">
        <f t="shared" si="88"/>
        <v>20.386691962026994</v>
      </c>
      <c r="AU135" s="21">
        <f>(SUM(AT$3:AT135)/($B135-$B$3+1))</f>
        <v>19.449116708155287</v>
      </c>
      <c r="AV135" s="22">
        <f>SUM(AT$3:AT135)/1000</f>
        <v>2.5867325221846533</v>
      </c>
    </row>
    <row r="136" spans="1:48" ht="15.6">
      <c r="A136" s="17" t="s">
        <v>63</v>
      </c>
      <c r="B136" s="17">
        <v>193</v>
      </c>
      <c r="C136" s="18">
        <f t="shared" si="64"/>
        <v>148.27224301625907</v>
      </c>
      <c r="D136" s="18">
        <f t="shared" si="65"/>
        <v>139.06782256064022</v>
      </c>
      <c r="E136" s="18">
        <f t="shared" si="75"/>
        <v>143.67003278844965</v>
      </c>
      <c r="F136" s="19">
        <f t="shared" si="85"/>
        <v>0.85503019740514219</v>
      </c>
      <c r="G136" s="19">
        <f t="shared" si="85"/>
        <v>0.82080591133666303</v>
      </c>
      <c r="H136" s="19">
        <f t="shared" si="76"/>
        <v>0.83791805437090261</v>
      </c>
      <c r="I136" s="19">
        <f>(SUM(H$3:H136)/($B136-$B$3+1))</f>
        <v>0.91545091982320648</v>
      </c>
      <c r="J136" s="19"/>
      <c r="K136" s="19">
        <f t="shared" si="77"/>
        <v>3.0522359081836834</v>
      </c>
      <c r="L136" s="19">
        <f t="shared" si="78"/>
        <v>2.8050374210590716</v>
      </c>
      <c r="M136" s="19">
        <f t="shared" si="79"/>
        <v>2.9286366646213775</v>
      </c>
      <c r="N136" s="19">
        <f>(SUM(M$3:M136)/($B136-$B$3+1))</f>
        <v>2.3408510278979562</v>
      </c>
      <c r="O136" s="19">
        <f t="shared" si="66"/>
        <v>3.5697404810340645</v>
      </c>
      <c r="P136" s="19">
        <f t="shared" si="67"/>
        <v>3.4174186397989441</v>
      </c>
      <c r="Q136" s="19">
        <f t="shared" si="80"/>
        <v>3.4935795604165043</v>
      </c>
      <c r="R136" s="19">
        <f>(SUM(Q$3:Q136)/($B136-$B$3+1))</f>
        <v>2.5361380182450444</v>
      </c>
      <c r="S136" s="19">
        <f t="shared" si="68"/>
        <v>12.756274274648957</v>
      </c>
      <c r="T136" s="19">
        <f t="shared" si="69"/>
        <v>11.89536566639282</v>
      </c>
      <c r="U136" s="19">
        <f t="shared" si="86"/>
        <v>12.32581997052089</v>
      </c>
      <c r="V136" s="19">
        <f>(SUM(U$3:U136)/($B136-$B$3+1))</f>
        <v>8.7684871688299424</v>
      </c>
      <c r="W136" s="18">
        <f t="shared" si="81"/>
        <v>10.906999711207234</v>
      </c>
      <c r="X136" s="18">
        <f t="shared" si="82"/>
        <v>9.763786456486411</v>
      </c>
      <c r="Y136" s="20">
        <f t="shared" si="70"/>
        <v>10335.393083846822</v>
      </c>
      <c r="Z136" s="20">
        <f>(SUM(Y$3:Y136)/($B136-$B$3+1))</f>
        <v>8100.0647150216791</v>
      </c>
      <c r="AA136" s="21">
        <f>SUM(Y$3:Y136)/1000</f>
        <v>1085.4086718129049</v>
      </c>
      <c r="AB136" s="20">
        <f t="shared" si="71"/>
        <v>3529.0800011830797</v>
      </c>
      <c r="AC136" s="20">
        <f>(SUM(AB$3:AB136)/($B136-$B$3+1))</f>
        <v>3446.3967662301625</v>
      </c>
      <c r="AD136" s="18">
        <f t="shared" si="58"/>
        <v>8.1902989458301327</v>
      </c>
      <c r="AE136" s="18">
        <f t="shared" si="58"/>
        <v>7.5269722668276824</v>
      </c>
      <c r="AF136" s="20">
        <f t="shared" si="72"/>
        <v>7858.6356063289077</v>
      </c>
      <c r="AG136" s="20">
        <f>(SUM(AF$3:AF136)/($B136-$B$3+1))</f>
        <v>6158.9778411548659</v>
      </c>
      <c r="AH136" s="22">
        <f>SUM(AF$3:AF136)/1000</f>
        <v>825.30303071475203</v>
      </c>
      <c r="AI136" s="20">
        <v>2683.3767743411404</v>
      </c>
      <c r="AJ136" s="20">
        <f>(SUM(AI$3:AI136)/($B136-$B$3+1))</f>
        <v>2620.5076208434371</v>
      </c>
      <c r="AK136" s="21">
        <f>SUM(AI$3:AI136)/1000</f>
        <v>351.14802119302055</v>
      </c>
      <c r="AL136" s="23">
        <f t="shared" si="83"/>
        <v>1.8498060354482631</v>
      </c>
      <c r="AM136" s="23">
        <f t="shared" si="84"/>
        <v>2.1184181213710169</v>
      </c>
      <c r="AN136" s="24">
        <f t="shared" si="73"/>
        <v>0.65281134857682244</v>
      </c>
      <c r="AO136" s="24">
        <f t="shared" si="74"/>
        <v>0.74760670262742868</v>
      </c>
      <c r="AP136" s="24">
        <f t="shared" si="87"/>
        <v>0.70020902560212561</v>
      </c>
      <c r="AQ136" s="24">
        <f>(SUM(AP$3:AP136)/($B136-$B$3+1))</f>
        <v>0.87898022553665156</v>
      </c>
      <c r="AR136" s="21">
        <f t="shared" si="59"/>
        <v>19.925342393959927</v>
      </c>
      <c r="AS136" s="21">
        <f t="shared" si="59"/>
        <v>20.970647771045186</v>
      </c>
      <c r="AT136" s="21">
        <f t="shared" si="88"/>
        <v>20.447995082502558</v>
      </c>
      <c r="AU136" s="21">
        <f>(SUM(AT$3:AT136)/($B136-$B$3+1))</f>
        <v>19.456571024381759</v>
      </c>
      <c r="AV136" s="22">
        <f>SUM(AT$3:AT136)/1000</f>
        <v>2.6071805172671558</v>
      </c>
    </row>
    <row r="137" spans="1:48" ht="15.6">
      <c r="A137" s="17" t="s">
        <v>63</v>
      </c>
      <c r="B137" s="17">
        <v>194</v>
      </c>
      <c r="C137" s="18">
        <f t="shared" si="64"/>
        <v>149.12727321366421</v>
      </c>
      <c r="D137" s="18">
        <f t="shared" si="65"/>
        <v>139.88862847197689</v>
      </c>
      <c r="E137" s="18">
        <f t="shared" si="75"/>
        <v>144.50795084282055</v>
      </c>
      <c r="F137" s="19">
        <f t="shared" si="85"/>
        <v>0.85073945372619164</v>
      </c>
      <c r="G137" s="19">
        <f t="shared" si="85"/>
        <v>0.81750684250860672</v>
      </c>
      <c r="H137" s="19">
        <f t="shared" si="76"/>
        <v>0.83412314811739918</v>
      </c>
      <c r="I137" s="19">
        <f>(SUM(H$3:H137)/($B137-$B$3+1))</f>
        <v>0.9148484918846449</v>
      </c>
      <c r="J137" s="19"/>
      <c r="K137" s="19">
        <f t="shared" si="77"/>
        <v>3.0531160674750679</v>
      </c>
      <c r="L137" s="19">
        <f t="shared" si="78"/>
        <v>2.808909560211696</v>
      </c>
      <c r="M137" s="19">
        <f t="shared" si="79"/>
        <v>2.931012813843382</v>
      </c>
      <c r="N137" s="19">
        <f>(SUM(M$3:M137)/($B137-$B$3+1))</f>
        <v>2.3452225966827371</v>
      </c>
      <c r="O137" s="19">
        <f t="shared" si="66"/>
        <v>3.5887792133097727</v>
      </c>
      <c r="P137" s="19">
        <f t="shared" si="67"/>
        <v>3.4359462381895889</v>
      </c>
      <c r="Q137" s="19">
        <f t="shared" si="80"/>
        <v>3.5123627257496808</v>
      </c>
      <c r="R137" s="19">
        <f>(SUM(Q$3:Q137)/($B137-$B$3+1))</f>
        <v>2.5433693123747081</v>
      </c>
      <c r="S137" s="19">
        <f t="shared" si="68"/>
        <v>12.826281581869099</v>
      </c>
      <c r="T137" s="19">
        <f t="shared" si="69"/>
        <v>11.961916299282869</v>
      </c>
      <c r="U137" s="19">
        <f t="shared" si="86"/>
        <v>12.394098940575983</v>
      </c>
      <c r="V137" s="19">
        <f>(SUM(U$3:U137)/($B137-$B$3+1))</f>
        <v>8.7953435523243577</v>
      </c>
      <c r="W137" s="18">
        <f t="shared" si="81"/>
        <v>10.91182378629763</v>
      </c>
      <c r="X137" s="18">
        <f t="shared" si="82"/>
        <v>9.7789484241789761</v>
      </c>
      <c r="Y137" s="20">
        <f t="shared" si="70"/>
        <v>10345.386105238304</v>
      </c>
      <c r="Z137" s="20">
        <f>(SUM(Y$3:Y137)/($B137-$B$3+1))</f>
        <v>8116.6967253195799</v>
      </c>
      <c r="AA137" s="21">
        <f>SUM(Y$3:Y137)/1000</f>
        <v>1095.7540579181432</v>
      </c>
      <c r="AB137" s="20">
        <f t="shared" si="71"/>
        <v>3529.628412532456</v>
      </c>
      <c r="AC137" s="20">
        <f>(SUM(AB$3:AB137)/($B137-$B$3+1))</f>
        <v>3447.0132969435126</v>
      </c>
      <c r="AD137" s="18">
        <f t="shared" si="58"/>
        <v>8.1939338664746799</v>
      </c>
      <c r="AE137" s="18">
        <f t="shared" si="58"/>
        <v>7.5385339648477228</v>
      </c>
      <c r="AF137" s="20">
        <f t="shared" si="72"/>
        <v>7866.2339156612015</v>
      </c>
      <c r="AG137" s="20">
        <f>(SUM(AF$3:AF137)/($B137-$B$3+1))</f>
        <v>6171.6241824475055</v>
      </c>
      <c r="AH137" s="22">
        <f>SUM(AF$3:AF137)/1000</f>
        <v>833.16926463041329</v>
      </c>
      <c r="AI137" s="20">
        <v>2683.7937652501614</v>
      </c>
      <c r="AJ137" s="20">
        <f>(SUM(AI$3:AI137)/($B137-$B$3+1))</f>
        <v>2620.9764070983019</v>
      </c>
      <c r="AK137" s="21">
        <f>SUM(AI$3:AI137)/1000</f>
        <v>353.83181495827074</v>
      </c>
      <c r="AL137" s="23">
        <f t="shared" si="83"/>
        <v>1.8525762688103495</v>
      </c>
      <c r="AM137" s="23">
        <f t="shared" si="84"/>
        <v>2.1240273099684899</v>
      </c>
      <c r="AN137" s="24">
        <f t="shared" si="73"/>
        <v>0.65389058347763751</v>
      </c>
      <c r="AO137" s="24">
        <f t="shared" si="74"/>
        <v>0.74970271422596635</v>
      </c>
      <c r="AP137" s="24">
        <f t="shared" si="87"/>
        <v>0.70179664885180193</v>
      </c>
      <c r="AQ137" s="24">
        <f>(SUM(AP$3:AP137)/($B137-$B$3+1))</f>
        <v>0.8776677545982452</v>
      </c>
      <c r="AR137" s="21">
        <f t="shared" si="59"/>
        <v>19.96403846786222</v>
      </c>
      <c r="AS137" s="21">
        <f t="shared" si="59"/>
        <v>21.05847121305974</v>
      </c>
      <c r="AT137" s="21">
        <f t="shared" si="88"/>
        <v>20.511254840460978</v>
      </c>
      <c r="AU137" s="21">
        <f>(SUM(AT$3:AT137)/($B137-$B$3+1))</f>
        <v>19.464383497093454</v>
      </c>
      <c r="AV137" s="22">
        <f>SUM(AT$3:AT137)/1000</f>
        <v>2.6276917721076165</v>
      </c>
    </row>
    <row r="138" spans="1:48" ht="15.6">
      <c r="A138" s="17" t="s">
        <v>63</v>
      </c>
      <c r="B138" s="17">
        <v>195</v>
      </c>
      <c r="C138" s="18">
        <f t="shared" si="64"/>
        <v>149.9780126673904</v>
      </c>
      <c r="D138" s="18">
        <f t="shared" si="65"/>
        <v>140.70613531448549</v>
      </c>
      <c r="E138" s="18">
        <f t="shared" si="75"/>
        <v>145.34207399093793</v>
      </c>
      <c r="F138" s="19">
        <f t="shared" si="85"/>
        <v>0.8464371322807267</v>
      </c>
      <c r="G138" s="19">
        <f t="shared" si="85"/>
        <v>0.8141919478877071</v>
      </c>
      <c r="H138" s="19">
        <f t="shared" si="76"/>
        <v>0.8303145400842169</v>
      </c>
      <c r="I138" s="19">
        <f>(SUM(H$3:H138)/($B138-$B$3+1))</f>
        <v>0.91422691870964179</v>
      </c>
      <c r="J138" s="19"/>
      <c r="K138" s="19">
        <f t="shared" si="77"/>
        <v>3.0539614258930157</v>
      </c>
      <c r="L138" s="19">
        <f t="shared" si="78"/>
        <v>2.81271907128794</v>
      </c>
      <c r="M138" s="19">
        <f t="shared" si="79"/>
        <v>2.9333402485904778</v>
      </c>
      <c r="N138" s="19">
        <f>(SUM(M$3:M138)/($B138-$B$3+1))</f>
        <v>2.3495469911820588</v>
      </c>
      <c r="O138" s="19">
        <f t="shared" si="66"/>
        <v>3.6080192012182994</v>
      </c>
      <c r="P138" s="19">
        <f t="shared" si="67"/>
        <v>3.4546142080931861</v>
      </c>
      <c r="Q138" s="19">
        <f t="shared" si="80"/>
        <v>3.531316704655743</v>
      </c>
      <c r="R138" s="19">
        <f>(SUM(Q$3:Q138)/($B138-$B$3+1))</f>
        <v>2.5506336314355984</v>
      </c>
      <c r="S138" s="19">
        <f t="shared" si="68"/>
        <v>12.896976798414602</v>
      </c>
      <c r="T138" s="19">
        <f t="shared" si="69"/>
        <v>12.028951270478631</v>
      </c>
      <c r="U138" s="19">
        <f t="shared" si="86"/>
        <v>12.462964034446617</v>
      </c>
      <c r="V138" s="19">
        <f>(SUM(U$3:U138)/($B138-$B$3+1))</f>
        <v>8.8223113499870216</v>
      </c>
      <c r="W138" s="18">
        <f t="shared" si="81"/>
        <v>10.916480056341124</v>
      </c>
      <c r="X138" s="18">
        <f t="shared" si="82"/>
        <v>9.7938752659573058</v>
      </c>
      <c r="Y138" s="20">
        <f t="shared" si="70"/>
        <v>10355.177661149215</v>
      </c>
      <c r="Z138" s="20">
        <f>(SUM(Y$3:Y138)/($B138-$B$3+1))</f>
        <v>8133.156143965386</v>
      </c>
      <c r="AA138" s="21">
        <f>SUM(Y$3:Y138)/1000</f>
        <v>1106.1092355792925</v>
      </c>
      <c r="AB138" s="20">
        <f t="shared" si="71"/>
        <v>3530.1658803901328</v>
      </c>
      <c r="AC138" s="20">
        <f>(SUM(AB$3:AB138)/($B138-$B$3+1))</f>
        <v>3447.6247129982676</v>
      </c>
      <c r="AD138" s="18">
        <f t="shared" si="58"/>
        <v>8.1974506962324245</v>
      </c>
      <c r="AE138" s="18">
        <f t="shared" si="58"/>
        <v>7.5499073805404597</v>
      </c>
      <c r="AF138" s="20">
        <f t="shared" si="72"/>
        <v>7873.6790383864418</v>
      </c>
      <c r="AG138" s="20">
        <f>(SUM(AF$3:AF138)/($B138-$B$3+1))</f>
        <v>6184.1392916823506</v>
      </c>
      <c r="AH138" s="22">
        <f>SUM(AF$3:AF138)/1000</f>
        <v>841.04294366879969</v>
      </c>
      <c r="AI138" s="20">
        <v>2684.2024351487644</v>
      </c>
      <c r="AJ138" s="20">
        <f>(SUM(AI$3:AI138)/($B138-$B$3+1))</f>
        <v>2621.441304363379</v>
      </c>
      <c r="AK138" s="21">
        <f>SUM(AI$3:AI138)/1000</f>
        <v>356.51601739341953</v>
      </c>
      <c r="AL138" s="23">
        <f t="shared" si="83"/>
        <v>1.855544196014995</v>
      </c>
      <c r="AM138" s="23">
        <f t="shared" si="84"/>
        <v>2.1298743388361201</v>
      </c>
      <c r="AN138" s="24">
        <f t="shared" si="73"/>
        <v>0.65503788103280747</v>
      </c>
      <c r="AO138" s="24">
        <f t="shared" si="74"/>
        <v>0.75188097204777637</v>
      </c>
      <c r="AP138" s="24">
        <f t="shared" si="87"/>
        <v>0.70345942654029192</v>
      </c>
      <c r="AQ138" s="24">
        <f>(SUM(AP$3:AP138)/($B138-$B$3+1))</f>
        <v>0.87638681100958382</v>
      </c>
      <c r="AR138" s="21">
        <f t="shared" si="59"/>
        <v>20.004604211728925</v>
      </c>
      <c r="AS138" s="21">
        <f t="shared" si="59"/>
        <v>21.148299494172949</v>
      </c>
      <c r="AT138" s="21">
        <f t="shared" si="88"/>
        <v>20.576451852950939</v>
      </c>
      <c r="AU138" s="21">
        <f>(SUM(AT$3:AT138)/($B138-$B$3+1))</f>
        <v>19.472560470298291</v>
      </c>
      <c r="AV138" s="22">
        <f>SUM(AT$3:AT138)/1000</f>
        <v>2.6482682239605673</v>
      </c>
    </row>
    <row r="139" spans="1:48" ht="15.6">
      <c r="A139" s="17" t="s">
        <v>63</v>
      </c>
      <c r="B139" s="17">
        <v>196</v>
      </c>
      <c r="C139" s="18">
        <f t="shared" si="64"/>
        <v>150.82444979967113</v>
      </c>
      <c r="D139" s="18">
        <f t="shared" si="65"/>
        <v>141.5203272623732</v>
      </c>
      <c r="E139" s="18">
        <f t="shared" si="75"/>
        <v>146.17238853102216</v>
      </c>
      <c r="F139" s="19">
        <f t="shared" si="85"/>
        <v>0.84212423850831897</v>
      </c>
      <c r="G139" s="19">
        <f t="shared" si="85"/>
        <v>0.81086200798432628</v>
      </c>
      <c r="H139" s="19">
        <f t="shared" si="76"/>
        <v>0.82649312324632263</v>
      </c>
      <c r="I139" s="19">
        <f>(SUM(H$3:H139)/($B139-$B$3+1))</f>
        <v>0.91358652604202628</v>
      </c>
      <c r="J139" s="19"/>
      <c r="K139" s="19">
        <f t="shared" si="77"/>
        <v>3.0547734068282395</v>
      </c>
      <c r="L139" s="19">
        <f t="shared" si="78"/>
        <v>2.8164670648356327</v>
      </c>
      <c r="M139" s="19">
        <f t="shared" si="79"/>
        <v>2.9356202358319363</v>
      </c>
      <c r="N139" s="19">
        <f>(SUM(M$3:M139)/($B139-$B$3+1))</f>
        <v>2.3538248980773133</v>
      </c>
      <c r="O139" s="19">
        <f t="shared" si="66"/>
        <v>3.6274616821851078</v>
      </c>
      <c r="P139" s="19">
        <f t="shared" si="67"/>
        <v>3.4734233902966065</v>
      </c>
      <c r="Q139" s="19">
        <f t="shared" si="80"/>
        <v>3.5504425362408574</v>
      </c>
      <c r="R139" s="19">
        <f>(SUM(Q$3:Q139)/($B139-$B$3+1))</f>
        <v>2.5579315066531545</v>
      </c>
      <c r="S139" s="19">
        <f t="shared" si="68"/>
        <v>12.968365096580815</v>
      </c>
      <c r="T139" s="19">
        <f t="shared" si="69"/>
        <v>12.096473686020941</v>
      </c>
      <c r="U139" s="19">
        <f t="shared" si="86"/>
        <v>12.532419391300877</v>
      </c>
      <c r="V139" s="19">
        <f>(SUM(U$3:U139)/($B139-$B$3+1))</f>
        <v>8.8493924305805525</v>
      </c>
      <c r="W139" s="18">
        <f t="shared" si="81"/>
        <v>10.920974581655981</v>
      </c>
      <c r="X139" s="18">
        <f t="shared" si="82"/>
        <v>9.8085709425765053</v>
      </c>
      <c r="Y139" s="20">
        <f t="shared" si="70"/>
        <v>10364.772762116243</v>
      </c>
      <c r="Z139" s="20">
        <f>(SUM(Y$3:Y139)/($B139-$B$3+1))</f>
        <v>8149.4453163606486</v>
      </c>
      <c r="AA139" s="21">
        <f>SUM(Y$3:Y139)/1000</f>
        <v>1116.4740083414088</v>
      </c>
      <c r="AB139" s="20">
        <f t="shared" si="71"/>
        <v>3530.6926405550312</v>
      </c>
      <c r="AC139" s="20">
        <f>(SUM(AB$3:AB139)/($B139-$B$3+1))</f>
        <v>3448.231048235908</v>
      </c>
      <c r="AD139" s="18">
        <f t="shared" si="58"/>
        <v>8.2008537402708903</v>
      </c>
      <c r="AE139" s="18">
        <f t="shared" si="58"/>
        <v>7.5610958283773524</v>
      </c>
      <c r="AF139" s="20">
        <f t="shared" si="72"/>
        <v>7880.9747843241212</v>
      </c>
      <c r="AG139" s="20">
        <f>(SUM(AF$3:AF139)/($B139-$B$3+1))</f>
        <v>6196.5249522125832</v>
      </c>
      <c r="AH139" s="22">
        <f>SUM(AF$3:AF139)/1000</f>
        <v>848.92391845312386</v>
      </c>
      <c r="AI139" s="20">
        <v>2684.6029633293842</v>
      </c>
      <c r="AJ139" s="20">
        <f>(SUM(AI$3:AI139)/($B139-$B$3+1))</f>
        <v>2621.9023383704302</v>
      </c>
      <c r="AK139" s="21">
        <f>SUM(AI$3:AI139)/1000</f>
        <v>359.20062035674891</v>
      </c>
      <c r="AL139" s="23">
        <f t="shared" si="83"/>
        <v>1.8587065788553465</v>
      </c>
      <c r="AM139" s="23">
        <f t="shared" si="84"/>
        <v>2.1359559412322477</v>
      </c>
      <c r="AN139" s="24">
        <f t="shared" si="73"/>
        <v>0.65625216389157914</v>
      </c>
      <c r="AO139" s="24">
        <f t="shared" si="74"/>
        <v>0.75414039222584917</v>
      </c>
      <c r="AP139" s="24">
        <f t="shared" si="87"/>
        <v>0.70519627805871421</v>
      </c>
      <c r="AQ139" s="24">
        <f>(SUM(AP$3:AP139)/($B139-$B$3+1))</f>
        <v>0.87513724507563573</v>
      </c>
      <c r="AR139" s="21">
        <f t="shared" si="59"/>
        <v>20.047016584294834</v>
      </c>
      <c r="AS139" s="21">
        <f t="shared" si="59"/>
        <v>21.240115769663301</v>
      </c>
      <c r="AT139" s="21">
        <f t="shared" si="88"/>
        <v>20.643566176979068</v>
      </c>
      <c r="AU139" s="21">
        <f>(SUM(AT$3:AT139)/($B139-$B$3+1))</f>
        <v>19.481107957208369</v>
      </c>
      <c r="AV139" s="22">
        <f>SUM(AT$3:AT139)/1000</f>
        <v>2.6689117901375465</v>
      </c>
    </row>
    <row r="140" spans="1:48" ht="15.6">
      <c r="A140" s="17" t="s">
        <v>63</v>
      </c>
      <c r="B140" s="17">
        <v>197</v>
      </c>
      <c r="C140" s="18">
        <f t="shared" si="64"/>
        <v>151.66657403817945</v>
      </c>
      <c r="D140" s="18">
        <f t="shared" si="65"/>
        <v>142.33118927035753</v>
      </c>
      <c r="E140" s="18">
        <f t="shared" si="75"/>
        <v>146.99888165426847</v>
      </c>
      <c r="F140" s="19">
        <f t="shared" si="85"/>
        <v>0.83780175601461337</v>
      </c>
      <c r="G140" s="19">
        <f t="shared" si="85"/>
        <v>0.8075177893751686</v>
      </c>
      <c r="H140" s="19">
        <f t="shared" si="76"/>
        <v>0.82265977269489099</v>
      </c>
      <c r="I140" s="19">
        <f>(SUM(H$3:H140)/($B140-$B$3+1))</f>
        <v>0.91292763652501807</v>
      </c>
      <c r="J140" s="19"/>
      <c r="K140" s="19">
        <f t="shared" si="77"/>
        <v>3.0555533758243603</v>
      </c>
      <c r="L140" s="19">
        <f t="shared" si="78"/>
        <v>2.8201546324147513</v>
      </c>
      <c r="M140" s="19">
        <f t="shared" si="79"/>
        <v>2.937854004119556</v>
      </c>
      <c r="N140" s="19">
        <f>(SUM(M$3:M140)/($B140-$B$3+1))</f>
        <v>2.3580569930486344</v>
      </c>
      <c r="O140" s="19">
        <f t="shared" si="66"/>
        <v>3.6471078675694057</v>
      </c>
      <c r="P140" s="19">
        <f t="shared" si="67"/>
        <v>3.4923746195076353</v>
      </c>
      <c r="Q140" s="19">
        <f t="shared" si="80"/>
        <v>3.5697412435385205</v>
      </c>
      <c r="R140" s="19">
        <f>(SUM(Q$3:Q140)/($B140-$B$3+1))</f>
        <v>2.5652634612682661</v>
      </c>
      <c r="S140" s="19">
        <f t="shared" si="68"/>
        <v>13.04045154871835</v>
      </c>
      <c r="T140" s="19">
        <f t="shared" si="69"/>
        <v>12.164486630001237</v>
      </c>
      <c r="U140" s="19">
        <f t="shared" si="86"/>
        <v>12.602469089359793</v>
      </c>
      <c r="V140" s="19">
        <f>(SUM(U$3:U140)/($B140-$B$3+1))</f>
        <v>8.8765886382528674</v>
      </c>
      <c r="W140" s="18">
        <f t="shared" si="81"/>
        <v>10.925313206739718</v>
      </c>
      <c r="X140" s="18">
        <f t="shared" si="82"/>
        <v>9.8230393523423931</v>
      </c>
      <c r="Y140" s="20">
        <f t="shared" si="70"/>
        <v>10374.176279541056</v>
      </c>
      <c r="Z140" s="20">
        <f>(SUM(Y$3:Y140)/($B140-$B$3+1))</f>
        <v>8165.5665552242745</v>
      </c>
      <c r="AA140" s="21">
        <f>SUM(Y$3:Y140)/1000</f>
        <v>1126.84818462095</v>
      </c>
      <c r="AB140" s="20">
        <f t="shared" si="71"/>
        <v>3531.2089249479527</v>
      </c>
      <c r="AC140" s="20">
        <f>(SUM(AB$3:AB140)/($B140-$B$3+1))</f>
        <v>3448.8323371975894</v>
      </c>
      <c r="AD140" s="18">
        <f t="shared" si="58"/>
        <v>8.2041471439571936</v>
      </c>
      <c r="AE140" s="18">
        <f t="shared" si="58"/>
        <v>7.5721025710444323</v>
      </c>
      <c r="AF140" s="20">
        <f t="shared" si="72"/>
        <v>7888.1248575008131</v>
      </c>
      <c r="AG140" s="20">
        <f>(SUM(AF$3:AF140)/($B140-$B$3+1))</f>
        <v>6208.7829225407586</v>
      </c>
      <c r="AH140" s="22">
        <f>SUM(AF$3:AF140)/1000</f>
        <v>856.81204331062463</v>
      </c>
      <c r="AI140" s="20">
        <v>2684.995526135684</v>
      </c>
      <c r="AJ140" s="20">
        <f>(SUM(AI$3:AI140)/($B140-$B$3+1))</f>
        <v>2622.3595353832216</v>
      </c>
      <c r="AK140" s="21">
        <f>SUM(AI$3:AI140)/1000</f>
        <v>361.88561588288462</v>
      </c>
      <c r="AL140" s="23">
        <f t="shared" si="83"/>
        <v>1.8620601879853136</v>
      </c>
      <c r="AM140" s="23">
        <f t="shared" si="84"/>
        <v>2.1422688493515358</v>
      </c>
      <c r="AN140" s="24">
        <f t="shared" si="73"/>
        <v>0.65753235546040023</v>
      </c>
      <c r="AO140" s="24">
        <f t="shared" si="74"/>
        <v>0.75647988804681243</v>
      </c>
      <c r="AP140" s="24">
        <f t="shared" si="87"/>
        <v>0.70700612175360633</v>
      </c>
      <c r="AQ140" s="24">
        <f>(SUM(AP$3:AP140)/($B140-$B$3+1))</f>
        <v>0.87391890360228774</v>
      </c>
      <c r="AR140" s="21">
        <f t="shared" si="59"/>
        <v>20.091252084407692</v>
      </c>
      <c r="AS140" s="21">
        <f t="shared" si="59"/>
        <v>21.333902606038105</v>
      </c>
      <c r="AT140" s="21">
        <f t="shared" si="88"/>
        <v>20.712577345222897</v>
      </c>
      <c r="AU140" s="21">
        <f>(SUM(AT$3:AT140)/($B140-$B$3+1))</f>
        <v>19.490031648425866</v>
      </c>
      <c r="AV140" s="22">
        <f>SUM(AT$3:AT140)/1000</f>
        <v>2.6896243674827698</v>
      </c>
    </row>
    <row r="141" spans="1:48" ht="15.6">
      <c r="A141" s="17" t="s">
        <v>63</v>
      </c>
      <c r="B141" s="17">
        <v>198</v>
      </c>
      <c r="C141" s="18">
        <f t="shared" si="64"/>
        <v>152.50437579419406</v>
      </c>
      <c r="D141" s="18">
        <f t="shared" si="65"/>
        <v>143.1387070597327</v>
      </c>
      <c r="E141" s="18">
        <f t="shared" si="75"/>
        <v>147.82154142696339</v>
      </c>
      <c r="F141" s="19">
        <f t="shared" si="85"/>
        <v>0.83347064677840876</v>
      </c>
      <c r="G141" s="19">
        <f t="shared" si="85"/>
        <v>0.80416004479653225</v>
      </c>
      <c r="H141" s="19">
        <f t="shared" si="76"/>
        <v>0.81881534578747051</v>
      </c>
      <c r="I141" s="19">
        <f>(SUM(H$3:H141)/($B141-$B$3+1))</f>
        <v>0.91225056968517959</v>
      </c>
      <c r="J141" s="19"/>
      <c r="K141" s="19">
        <f t="shared" si="77"/>
        <v>3.0563026427856883</v>
      </c>
      <c r="L141" s="19">
        <f t="shared" si="78"/>
        <v>2.8237828468276338</v>
      </c>
      <c r="M141" s="19">
        <f t="shared" si="79"/>
        <v>2.9400427448066608</v>
      </c>
      <c r="N141" s="19">
        <f>(SUM(M$3:M141)/($B141-$B$3+1))</f>
        <v>2.3622439409030083</v>
      </c>
      <c r="O141" s="19">
        <f t="shared" si="66"/>
        <v>3.6669589440241612</v>
      </c>
      <c r="P141" s="19">
        <f t="shared" si="67"/>
        <v>3.5114687245399074</v>
      </c>
      <c r="Q141" s="19">
        <f t="shared" si="80"/>
        <v>3.5892138342820346</v>
      </c>
      <c r="R141" s="19">
        <f>(SUM(Q$3:Q141)/($B141-$B$3+1))</f>
        <v>2.5726300107144082</v>
      </c>
      <c r="S141" s="19">
        <f t="shared" si="68"/>
        <v>13.113241131545349</v>
      </c>
      <c r="T141" s="19">
        <f t="shared" si="69"/>
        <v>12.232993165166199</v>
      </c>
      <c r="U141" s="19">
        <f t="shared" si="86"/>
        <v>12.673117148355775</v>
      </c>
      <c r="V141" s="19">
        <f>(SUM(U$3:U141)/($B141-$B$3+1))</f>
        <v>8.9039017930018076</v>
      </c>
      <c r="W141" s="18">
        <f t="shared" si="81"/>
        <v>10.929501567270336</v>
      </c>
      <c r="X141" s="18">
        <f t="shared" si="82"/>
        <v>9.8372843316957237</v>
      </c>
      <c r="Y141" s="20">
        <f t="shared" si="70"/>
        <v>10383.39294948303</v>
      </c>
      <c r="Z141" s="20">
        <f>(SUM(Y$3:Y141)/($B141-$B$3+1))</f>
        <v>8181.5221407944819</v>
      </c>
      <c r="AA141" s="21">
        <f>SUM(Y$3:Y141)/1000</f>
        <v>1137.231577570433</v>
      </c>
      <c r="AB141" s="20">
        <f t="shared" si="71"/>
        <v>3531.714961567965</v>
      </c>
      <c r="AC141" s="20">
        <f>(SUM(AB$3:AB141)/($B141-$B$3+1))</f>
        <v>3449.4286150707576</v>
      </c>
      <c r="AD141" s="18">
        <f t="shared" si="58"/>
        <v>8.207334898389913</v>
      </c>
      <c r="AE141" s="18">
        <f t="shared" si="58"/>
        <v>7.5829308196781104</v>
      </c>
      <c r="AF141" s="20">
        <f t="shared" si="72"/>
        <v>7895.1328590340117</v>
      </c>
      <c r="AG141" s="20">
        <f>(SUM(AF$3:AF141)/($B141-$B$3+1))</f>
        <v>6220.9149364723644</v>
      </c>
      <c r="AH141" s="22">
        <f>SUM(AF$3:AF141)/1000</f>
        <v>864.70717616965862</v>
      </c>
      <c r="AI141" s="20">
        <v>2685.3802969293902</v>
      </c>
      <c r="AJ141" s="20">
        <f>(SUM(AI$3:AI141)/($B141-$B$3+1))</f>
        <v>2622.8129221569352</v>
      </c>
      <c r="AK141" s="21">
        <f>SUM(AI$3:AI141)/1000</f>
        <v>364.57099617981396</v>
      </c>
      <c r="AL141" s="23">
        <f t="shared" si="83"/>
        <v>1.8656018041982905</v>
      </c>
      <c r="AM141" s="23">
        <f t="shared" si="84"/>
        <v>2.1488097956397292</v>
      </c>
      <c r="AN141" s="24">
        <f t="shared" si="73"/>
        <v>0.6588773804215291</v>
      </c>
      <c r="AO141" s="24">
        <f t="shared" si="74"/>
        <v>0.75889837048246322</v>
      </c>
      <c r="AP141" s="24">
        <f t="shared" si="87"/>
        <v>0.70888787545199616</v>
      </c>
      <c r="AQ141" s="24">
        <f>(SUM(AP$3:AP141)/($B141-$B$3+1))</f>
        <v>0.87273163001847265</v>
      </c>
      <c r="AR141" s="21">
        <f t="shared" si="59"/>
        <v>20.137286790540308</v>
      </c>
      <c r="AS141" s="21">
        <f t="shared" si="59"/>
        <v>21.429642010538224</v>
      </c>
      <c r="AT141" s="21">
        <f t="shared" si="88"/>
        <v>20.783464400539266</v>
      </c>
      <c r="AU141" s="21">
        <f>(SUM(AT$3:AT141)/($B141-$B$3+1))</f>
        <v>19.499336920023804</v>
      </c>
      <c r="AV141" s="22">
        <f>SUM(AT$3:AT141)/1000</f>
        <v>2.7104078318833089</v>
      </c>
    </row>
    <row r="142" spans="1:48" ht="15.6">
      <c r="A142" s="17" t="s">
        <v>63</v>
      </c>
      <c r="B142" s="17">
        <v>199</v>
      </c>
      <c r="C142" s="18">
        <f t="shared" si="64"/>
        <v>153.33784644097247</v>
      </c>
      <c r="D142" s="18">
        <f t="shared" si="65"/>
        <v>143.94286710452923</v>
      </c>
      <c r="E142" s="18">
        <f t="shared" si="75"/>
        <v>148.64035677275086</v>
      </c>
      <c r="F142" s="19">
        <f t="shared" si="85"/>
        <v>0.82913185136385437</v>
      </c>
      <c r="G142" s="19">
        <f t="shared" si="85"/>
        <v>0.80078951324168202</v>
      </c>
      <c r="H142" s="19">
        <f t="shared" si="76"/>
        <v>0.81496068230276819</v>
      </c>
      <c r="I142" s="19">
        <f>(SUM(H$3:H142)/($B142-$B$3+1))</f>
        <v>0.91155564191816241</v>
      </c>
      <c r="J142" s="19"/>
      <c r="K142" s="19">
        <f t="shared" si="77"/>
        <v>3.0570224641151333</v>
      </c>
      <c r="L142" s="19">
        <f t="shared" si="78"/>
        <v>2.8273527623519739</v>
      </c>
      <c r="M142" s="19">
        <f t="shared" si="79"/>
        <v>2.9421876132335534</v>
      </c>
      <c r="N142" s="19">
        <f>(SUM(M$3:M142)/($B142-$B$3+1))</f>
        <v>2.3663863957053692</v>
      </c>
      <c r="O142" s="19">
        <f t="shared" si="66"/>
        <v>3.6870160748095495</v>
      </c>
      <c r="P142" s="19">
        <f t="shared" si="67"/>
        <v>3.5307065284940435</v>
      </c>
      <c r="Q142" s="19">
        <f t="shared" si="80"/>
        <v>3.6088613016517965</v>
      </c>
      <c r="R142" s="19">
        <f>(SUM(Q$3:Q142)/($B142-$B$3+1))</f>
        <v>2.5800316627925328</v>
      </c>
      <c r="S142" s="19">
        <f t="shared" si="68"/>
        <v>13.186738730344153</v>
      </c>
      <c r="T142" s="19">
        <f t="shared" si="69"/>
        <v>12.301996333511601</v>
      </c>
      <c r="U142" s="19">
        <f t="shared" si="86"/>
        <v>12.744367531927878</v>
      </c>
      <c r="V142" s="19">
        <f>(SUM(U$3:U142)/($B142-$B$3+1))</f>
        <v>8.9313336911369952</v>
      </c>
      <c r="W142" s="18">
        <f t="shared" si="81"/>
        <v>10.933545096941691</v>
      </c>
      <c r="X142" s="18">
        <f t="shared" si="82"/>
        <v>9.8513096558137114</v>
      </c>
      <c r="Y142" s="20">
        <f t="shared" si="70"/>
        <v>10392.4273763777</v>
      </c>
      <c r="Z142" s="20">
        <f>(SUM(Y$3:Y142)/($B142-$B$3+1))</f>
        <v>8197.3143210486469</v>
      </c>
      <c r="AA142" s="21">
        <f>SUM(Y$3:Y142)/1000</f>
        <v>1147.6240049468106</v>
      </c>
      <c r="AB142" s="20">
        <f t="shared" si="71"/>
        <v>3532.2109744579161</v>
      </c>
      <c r="AC142" s="20">
        <f>(SUM(AB$3:AB142)/($B142-$B$3+1))</f>
        <v>3450.0199176378087</v>
      </c>
      <c r="AD142" s="18">
        <f t="shared" si="58"/>
        <v>8.2104208457823553</v>
      </c>
      <c r="AE142" s="18">
        <f t="shared" si="58"/>
        <v>7.5935837341366357</v>
      </c>
      <c r="AF142" s="20">
        <f t="shared" si="72"/>
        <v>7902.002289959496</v>
      </c>
      <c r="AG142" s="20">
        <f>(SUM(AF$3:AF142)/($B142-$B$3+1))</f>
        <v>6232.9227032829867</v>
      </c>
      <c r="AH142" s="22">
        <f>SUM(AF$3:AF142)/1000</f>
        <v>872.60917845961808</v>
      </c>
      <c r="AI142" s="20">
        <v>2685.7574460640717</v>
      </c>
      <c r="AJ142" s="20">
        <f>(SUM(AI$3:AI142)/($B142-$B$3+1))</f>
        <v>2623.2625258991293</v>
      </c>
      <c r="AK142" s="21">
        <f>SUM(AI$3:AI142)/1000</f>
        <v>367.25675362587805</v>
      </c>
      <c r="AL142" s="23">
        <f t="shared" si="83"/>
        <v>1.8693282196563459</v>
      </c>
      <c r="AM142" s="23">
        <f t="shared" si="84"/>
        <v>2.1555755140687589</v>
      </c>
      <c r="AN142" s="24">
        <f t="shared" si="73"/>
        <v>0.66028616523340233</v>
      </c>
      <c r="AO142" s="24">
        <f t="shared" si="74"/>
        <v>0.76139474870664348</v>
      </c>
      <c r="AP142" s="24">
        <f t="shared" si="87"/>
        <v>0.71084045697002285</v>
      </c>
      <c r="AQ142" s="24">
        <f>(SUM(AP$3:AP142)/($B142-$B$3+1))</f>
        <v>0.87157526449669798</v>
      </c>
      <c r="AR142" s="21">
        <f t="shared" si="59"/>
        <v>20.185096398629476</v>
      </c>
      <c r="AS142" s="21">
        <f t="shared" si="59"/>
        <v>21.527315459960153</v>
      </c>
      <c r="AT142" s="21">
        <f t="shared" si="88"/>
        <v>20.856205929294816</v>
      </c>
      <c r="AU142" s="21">
        <f>(SUM(AT$3:AT142)/($B142-$B$3+1))</f>
        <v>19.5090288415186</v>
      </c>
      <c r="AV142" s="22">
        <f>SUM(AT$3:AT142)/1000</f>
        <v>2.7312640378126041</v>
      </c>
    </row>
    <row r="143" spans="1:48" ht="15.6">
      <c r="A143" s="17" t="s">
        <v>63</v>
      </c>
      <c r="B143" s="17">
        <v>200</v>
      </c>
      <c r="C143" s="18">
        <f t="shared" si="64"/>
        <v>154.16697829233632</v>
      </c>
      <c r="D143" s="18">
        <f t="shared" si="65"/>
        <v>144.74365661777091</v>
      </c>
      <c r="E143" s="18">
        <f t="shared" si="75"/>
        <v>149.4553174550536</v>
      </c>
      <c r="F143" s="19"/>
      <c r="G143" s="19"/>
      <c r="H143" s="19"/>
      <c r="I143" s="19">
        <f>(SUM(H$3:H143)/($B143-$B$3+1))</f>
        <v>0.90509070828753713</v>
      </c>
      <c r="J143" s="19"/>
      <c r="K143" s="19">
        <f t="shared" si="77"/>
        <v>3.0577140447831903</v>
      </c>
      <c r="L143" s="19">
        <f t="shared" si="78"/>
        <v>2.8308654149761772</v>
      </c>
      <c r="M143" s="19">
        <f t="shared" si="79"/>
        <v>2.9442897298796837</v>
      </c>
      <c r="N143" s="19">
        <f>(SUM(M$3:M143)/($B143-$B$3+1))</f>
        <v>2.3704850009122795</v>
      </c>
      <c r="O143" s="19"/>
      <c r="P143" s="19"/>
      <c r="Q143" s="19"/>
      <c r="R143" s="19">
        <f>(SUM(Q$3:Q143)/($B143-$B$3+1))</f>
        <v>2.5617335658932947</v>
      </c>
      <c r="S143" s="19"/>
      <c r="T143" s="19"/>
      <c r="U143" s="19"/>
      <c r="V143" s="19">
        <f>(SUM(U$3:U143)/($B143-$B$3+1))</f>
        <v>8.8679908990012724</v>
      </c>
      <c r="W143" s="18">
        <f t="shared" si="81"/>
        <v>10.937449034131836</v>
      </c>
      <c r="X143" s="18">
        <f t="shared" si="82"/>
        <v>9.8651190392272969</v>
      </c>
      <c r="Y143" s="20">
        <f t="shared" si="70"/>
        <v>10401.284036679566</v>
      </c>
      <c r="Z143" s="20">
        <f>(SUM(Y$3:Y143)/($B143-$B$3+1))</f>
        <v>8212.9453119396476</v>
      </c>
      <c r="AA143" s="21">
        <f>SUM(Y$3:Y143)/1000</f>
        <v>1158.0252889834903</v>
      </c>
      <c r="AB143" s="20">
        <f t="shared" si="71"/>
        <v>3532.697183678526</v>
      </c>
      <c r="AC143" s="20">
        <f>(SUM(AB$3:AB143)/($B143-$B$3+1))</f>
        <v>3450.6062812267496</v>
      </c>
      <c r="AD143" s="18">
        <f t="shared" si="58"/>
        <v>8.2134086846975745</v>
      </c>
      <c r="AE143" s="18">
        <f t="shared" si="58"/>
        <v>7.6040644233048189</v>
      </c>
      <c r="AF143" s="20">
        <f t="shared" si="72"/>
        <v>7908.7365540011961</v>
      </c>
      <c r="AG143" s="20">
        <f>(SUM(AF$3:AF143)/($B143-$B$3+1))</f>
        <v>6244.8079078980099</v>
      </c>
      <c r="AH143" s="22">
        <f>SUM(AF$3:AF143)/1000</f>
        <v>880.51791501361936</v>
      </c>
      <c r="AI143" s="20">
        <v>2686.1271408654411</v>
      </c>
      <c r="AJ143" s="20">
        <f>(SUM(AI$3:AI143)/($B143-$B$3+1))</f>
        <v>2623.7083742322234</v>
      </c>
      <c r="AK143" s="21">
        <f>SUM(AI$3:AI143)/1000</f>
        <v>369.94288076674349</v>
      </c>
      <c r="AL143" s="25">
        <f t="shared" si="83"/>
        <v>1.8732362390706867</v>
      </c>
      <c r="AM143" s="25">
        <f t="shared" si="84"/>
        <v>2.1625627413726498</v>
      </c>
      <c r="AN143" s="24">
        <f t="shared" si="73"/>
        <v>0.66175763861295689</v>
      </c>
      <c r="AO143" s="24">
        <f t="shared" si="74"/>
        <v>0.76396793059752732</v>
      </c>
      <c r="AP143" s="24">
        <f t="shared" si="87"/>
        <v>0.71286278460524211</v>
      </c>
      <c r="AQ143" s="24">
        <f>(SUM(AP$3:AP143)/($B143-$B$3+1))</f>
        <v>0.87044964407193581</v>
      </c>
      <c r="AR143" s="26">
        <f t="shared" si="59"/>
        <v>20.23465625829397</v>
      </c>
      <c r="AS143" s="26">
        <f t="shared" si="59"/>
        <v>21.626903928794604</v>
      </c>
      <c r="AT143" s="26">
        <f t="shared" si="88"/>
        <v>20.930780093544286</v>
      </c>
      <c r="AU143" s="21">
        <f>(SUM(AT$3:AT143)/($B143-$B$3+1))</f>
        <v>19.519112183731547</v>
      </c>
      <c r="AV143" s="22">
        <f>SUM(AT$3:AT143)/1000</f>
        <v>2.7521948179061484</v>
      </c>
    </row>
  </sheetData>
  <mergeCells count="14">
    <mergeCell ref="AN1:AQ1"/>
    <mergeCell ref="AR1:AV1"/>
    <mergeCell ref="S1:V1"/>
    <mergeCell ref="W1:AA1"/>
    <mergeCell ref="AB1:AC1"/>
    <mergeCell ref="AD1:AH1"/>
    <mergeCell ref="AI1:AK1"/>
    <mergeCell ref="AL1:AM1"/>
    <mergeCell ref="O1:R1"/>
    <mergeCell ref="A1:A2"/>
    <mergeCell ref="B1:B2"/>
    <mergeCell ref="C1:E1"/>
    <mergeCell ref="F1:I1"/>
    <mergeCell ref="K1:N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Imperial-ME</vt:lpstr>
      <vt:lpstr>Imperial-NE</vt:lpstr>
      <vt:lpstr>Metric-ME</vt:lpstr>
      <vt:lpstr>Metric-NE</vt:lpstr>
      <vt:lpstr>Sheet1</vt:lpstr>
      <vt:lpstr>Growth curve</vt:lpstr>
    </vt:vector>
  </TitlesOfParts>
  <Company>Genus,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mgoncalves</dc:creator>
  <cp:lastModifiedBy>uorlando</cp:lastModifiedBy>
  <dcterms:created xsi:type="dcterms:W3CDTF">2016-10-03T14:58:36Z</dcterms:created>
  <dcterms:modified xsi:type="dcterms:W3CDTF">2018-08-16T18:42:15Z</dcterms:modified>
</cp:coreProperties>
</file>